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1" activeTab="4"/>
  </bookViews>
  <sheets>
    <sheet name="OPENING BALANCE SHEET" sheetId="20" r:id="rId1"/>
    <sheet name="IS,BS,CF (9 MONTHS-1994)" sheetId="21" r:id="rId2"/>
    <sheet name="IS,BS,CF (12 MONTHS-1995)" sheetId="25" r:id="rId3"/>
    <sheet name="RATIOS" sheetId="23" r:id="rId4"/>
    <sheet name="PROFORMA FINANCIAL STATEMENTS" sheetId="26" r:id="rId5"/>
  </sheets>
  <calcPr calcId="124519" calcMode="autoNoTable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6"/>
  <c r="K22"/>
  <c r="K7"/>
  <c r="G25"/>
  <c r="G13"/>
  <c r="G12"/>
  <c r="G11"/>
  <c r="G10"/>
  <c r="G9"/>
  <c r="C16"/>
  <c r="C9"/>
  <c r="C10"/>
  <c r="C8"/>
  <c r="C5"/>
  <c r="C4"/>
  <c r="K18"/>
  <c r="K19" s="1"/>
  <c r="B17"/>
  <c r="C11"/>
  <c r="K10"/>
  <c r="K9"/>
  <c r="G14"/>
  <c r="K5"/>
  <c r="C6"/>
  <c r="E18" i="23"/>
  <c r="D18"/>
  <c r="E15"/>
  <c r="D15"/>
  <c r="E14"/>
  <c r="D14"/>
  <c r="E11"/>
  <c r="D11"/>
  <c r="D10"/>
  <c r="E10"/>
  <c r="E7"/>
  <c r="D7"/>
  <c r="E6"/>
  <c r="D6"/>
  <c r="E5"/>
  <c r="D5"/>
  <c r="K22" i="25"/>
  <c r="K14"/>
  <c r="K18"/>
  <c r="K19" s="1"/>
  <c r="K6"/>
  <c r="K5"/>
  <c r="G25"/>
  <c r="G21"/>
  <c r="K7" s="1"/>
  <c r="K5" i="21"/>
  <c r="G13"/>
  <c r="G13" i="25" s="1"/>
  <c r="C16"/>
  <c r="K10" s="1"/>
  <c r="C11"/>
  <c r="C10"/>
  <c r="C9"/>
  <c r="C5"/>
  <c r="C4" i="21"/>
  <c r="C4" i="25"/>
  <c r="C6" s="1"/>
  <c r="B17"/>
  <c r="K9"/>
  <c r="K24" i="21"/>
  <c r="K21"/>
  <c r="K14"/>
  <c r="K19" s="1"/>
  <c r="K9"/>
  <c r="K7"/>
  <c r="K6"/>
  <c r="G10"/>
  <c r="G10" i="25" s="1"/>
  <c r="G12" i="21"/>
  <c r="G12" i="25" s="1"/>
  <c r="G11" i="21"/>
  <c r="G11" i="25" s="1"/>
  <c r="G9" i="21"/>
  <c r="G14" s="1"/>
  <c r="B17"/>
  <c r="C16"/>
  <c r="K10" s="1"/>
  <c r="C11"/>
  <c r="G25"/>
  <c r="C10"/>
  <c r="C9"/>
  <c r="C5"/>
  <c r="D12" i="20"/>
  <c r="D26"/>
  <c r="D21"/>
  <c r="C14" i="26" l="1"/>
  <c r="C15" s="1"/>
  <c r="C17" s="1"/>
  <c r="C18" s="1"/>
  <c r="G9" i="25"/>
  <c r="C14"/>
  <c r="G14"/>
  <c r="C15"/>
  <c r="C14" i="21"/>
  <c r="C6"/>
  <c r="G20" i="26" l="1"/>
  <c r="G26" s="1"/>
  <c r="K8"/>
  <c r="C19"/>
  <c r="C17" i="25"/>
  <c r="C18" s="1"/>
  <c r="C15" i="21"/>
  <c r="C21" i="26" l="1"/>
  <c r="G30" s="1"/>
  <c r="G32" s="1"/>
  <c r="K4"/>
  <c r="K11" s="1"/>
  <c r="K21" s="1"/>
  <c r="K23" s="1"/>
  <c r="G20" i="25"/>
  <c r="K8"/>
  <c r="G26"/>
  <c r="C19"/>
  <c r="C17" i="21"/>
  <c r="C18" s="1"/>
  <c r="G20" s="1"/>
  <c r="G26" l="1"/>
  <c r="K8"/>
  <c r="C21" i="25"/>
  <c r="G30" s="1"/>
  <c r="G32" s="1"/>
  <c r="K4"/>
  <c r="K11" s="1"/>
  <c r="K21" s="1"/>
  <c r="K23" s="1"/>
  <c r="C19" i="21"/>
  <c r="C21" l="1"/>
  <c r="G30" s="1"/>
  <c r="G32" s="1"/>
  <c r="K4"/>
  <c r="K11" s="1"/>
  <c r="K26" s="1"/>
  <c r="K28" s="1"/>
</calcChain>
</file>

<file path=xl/sharedStrings.xml><?xml version="1.0" encoding="utf-8"?>
<sst xmlns="http://schemas.openxmlformats.org/spreadsheetml/2006/main" count="228" uniqueCount="94">
  <si>
    <t>Equity</t>
  </si>
  <si>
    <t>Share Capital</t>
  </si>
  <si>
    <t>Assets</t>
  </si>
  <si>
    <t>Liabilities &amp; Equity</t>
  </si>
  <si>
    <t>Current Liabilities</t>
  </si>
  <si>
    <t>Long Term Liabilities</t>
  </si>
  <si>
    <t>Loan</t>
  </si>
  <si>
    <t>Outstanding Principle Repayment</t>
  </si>
  <si>
    <t>Rent</t>
  </si>
  <si>
    <t>Current Assets</t>
  </si>
  <si>
    <t>Non-Current Assets</t>
  </si>
  <si>
    <t>Referigerator, range &amp; grill</t>
  </si>
  <si>
    <t>Food preparation equipments</t>
  </si>
  <si>
    <t>Furnitures &amp; Fixtures</t>
  </si>
  <si>
    <t>Capitalized improvements and renovations</t>
  </si>
  <si>
    <t>TOTAL LIABILITIES &amp; EQUITY</t>
  </si>
  <si>
    <t>TOTAL LIABILITIES</t>
  </si>
  <si>
    <t>TOTAL ASSETS</t>
  </si>
  <si>
    <t>Current Assets (Balancing fig.)</t>
  </si>
  <si>
    <t>Computer System</t>
  </si>
  <si>
    <t>OPENING BALANCE SHEET APRIL 1, 1994</t>
  </si>
  <si>
    <t>Cash Revenue</t>
  </si>
  <si>
    <t>Less: Cash Expenses</t>
  </si>
  <si>
    <t>GROSS PROFITS</t>
  </si>
  <si>
    <t>Less: Operating Expenses</t>
  </si>
  <si>
    <t>Supply Costs</t>
  </si>
  <si>
    <t>Utility Charges</t>
  </si>
  <si>
    <t>Employee Wages</t>
  </si>
  <si>
    <t>License Fee</t>
  </si>
  <si>
    <t>Insurance Expenses</t>
  </si>
  <si>
    <t>Total Expenses</t>
  </si>
  <si>
    <t>OPERATING PROFITS</t>
  </si>
  <si>
    <t>Less: Income Tax @ 15%</t>
  </si>
  <si>
    <t>NET PROFITS</t>
  </si>
  <si>
    <t>Less: Dividends</t>
  </si>
  <si>
    <t>Retained Earnings</t>
  </si>
  <si>
    <t>Rent Expense (6 months)</t>
  </si>
  <si>
    <t>Rent Payable</t>
  </si>
  <si>
    <t>Less: Interest Expense</t>
  </si>
  <si>
    <t>Tax Payable</t>
  </si>
  <si>
    <t>Accounts Receivables</t>
  </si>
  <si>
    <t>-</t>
  </si>
  <si>
    <t>Accounts Payables</t>
  </si>
  <si>
    <t>Utility charges payable</t>
  </si>
  <si>
    <t>Wages payable</t>
  </si>
  <si>
    <t>BALANCE SHEET DECEMBER 31, 1994</t>
  </si>
  <si>
    <t>INCOME STATEMENT DECEMBER 31, 1994</t>
  </si>
  <si>
    <t>CASH FLOW STATEMENT DECEMBER 31, 1994</t>
  </si>
  <si>
    <t>Net Income</t>
  </si>
  <si>
    <t xml:space="preserve">Add back: Depreciation </t>
  </si>
  <si>
    <t>Increase in Ac. Receivables</t>
  </si>
  <si>
    <t>Increase in Ac. Payables</t>
  </si>
  <si>
    <t>Increase in Tax payable</t>
  </si>
  <si>
    <t>Dividend Paid</t>
  </si>
  <si>
    <t>Interest Paid</t>
  </si>
  <si>
    <t>Cash Flow from Operating Activities</t>
  </si>
  <si>
    <t>Investing Activities</t>
  </si>
  <si>
    <t>Capital Expenditures</t>
  </si>
  <si>
    <t>Purchase of computer system</t>
  </si>
  <si>
    <t>Purchase of furniture and fixtures</t>
  </si>
  <si>
    <t>Purchase of Food equipments</t>
  </si>
  <si>
    <t>Purchase of kitchen equipments</t>
  </si>
  <si>
    <t>Cash Flow from Investing Activities</t>
  </si>
  <si>
    <t>Long Term Borrowings</t>
  </si>
  <si>
    <t>Long term financing repayments</t>
  </si>
  <si>
    <t>Cash Flow from Financing Activities</t>
  </si>
  <si>
    <t>Purchase of common Stock</t>
  </si>
  <si>
    <t>Net cash and cash equivalents</t>
  </si>
  <si>
    <t>Opening Cash and Cash Equivalents</t>
  </si>
  <si>
    <t>Closing Cash and Cash Equivalents</t>
  </si>
  <si>
    <t>Rent Expense (12 months)</t>
  </si>
  <si>
    <t>INCOME STATEMENT DECEMBER 31, 1995</t>
  </si>
  <si>
    <t>BALANCE SHEET DECEMBER 31, 1995</t>
  </si>
  <si>
    <t>CASH FLOW STATEMENT DECEMBER 31, 1995</t>
  </si>
  <si>
    <t>Other assets (Balancing fig. including cash of 62875)</t>
  </si>
  <si>
    <t>Other assets (Balancing fig. including cash of 143225)</t>
  </si>
  <si>
    <t>Profitability</t>
  </si>
  <si>
    <t>Return on Sales</t>
  </si>
  <si>
    <t>Return of assets</t>
  </si>
  <si>
    <t>Return on equity</t>
  </si>
  <si>
    <t>Liquidity</t>
  </si>
  <si>
    <t>Quick Ratio</t>
  </si>
  <si>
    <t>Current Liabilities to Cash flow from Operations</t>
  </si>
  <si>
    <t>Solvency</t>
  </si>
  <si>
    <t>Total debt to equity</t>
  </si>
  <si>
    <t xml:space="preserve">Interest Coverage </t>
  </si>
  <si>
    <t>Asset Management</t>
  </si>
  <si>
    <t>Total asset turnover</t>
  </si>
  <si>
    <t>RATIOS</t>
  </si>
  <si>
    <t>Decrease in Ac. Payables</t>
  </si>
  <si>
    <t xml:space="preserve">Other assets </t>
  </si>
  <si>
    <t>PROFORMA CASH FLOW STATEMENT DECEMBER 31, 1996</t>
  </si>
  <si>
    <t>PROFORMA BALANCE SHEET DECEMBER 31, 1996</t>
  </si>
  <si>
    <t>PROFORMA INCOME STATEMENT DECEMBER 31, 1996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</si>
</sst>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8" fontId="5" fillId="0" borderId="0" xfId="0" applyNumberFormat="1" applyFont="1"/>
    <xf numFmtId="2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7" fillId="5" borderId="3" xfId="0" applyFont="1" applyFill="1" applyBorder="1"/>
    <xf numFmtId="0" fontId="7" fillId="5" borderId="4" xfId="0" applyFont="1" applyFill="1" applyBorder="1"/>
    <xf numFmtId="0" fontId="7" fillId="5" borderId="5" xfId="0" applyFont="1" applyFill="1" applyBorder="1"/>
    <xf numFmtId="0" fontId="7" fillId="5" borderId="6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0" fontId="6" fillId="6" borderId="5" xfId="0" applyFont="1" applyFill="1" applyBorder="1"/>
    <xf numFmtId="0" fontId="6" fillId="6" borderId="6" xfId="0" applyFont="1" applyFill="1" applyBorder="1"/>
    <xf numFmtId="0" fontId="5" fillId="0" borderId="0" xfId="0" applyFont="1" applyBorder="1"/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7" fillId="7" borderId="3" xfId="0" applyFont="1" applyFill="1" applyBorder="1"/>
    <xf numFmtId="0" fontId="7" fillId="7" borderId="4" xfId="0" applyFont="1" applyFill="1" applyBorder="1"/>
    <xf numFmtId="0" fontId="6" fillId="7" borderId="5" xfId="0" applyFont="1" applyFill="1" applyBorder="1"/>
    <xf numFmtId="0" fontId="5" fillId="7" borderId="6" xfId="0" applyFont="1" applyFill="1" applyBorder="1"/>
    <xf numFmtId="0" fontId="5" fillId="7" borderId="5" xfId="0" applyFont="1" applyFill="1" applyBorder="1"/>
    <xf numFmtId="0" fontId="6" fillId="7" borderId="6" xfId="0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5" fillId="7" borderId="7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9" borderId="5" xfId="0" applyFont="1" applyFill="1" applyBorder="1"/>
    <xf numFmtId="0" fontId="5" fillId="9" borderId="6" xfId="0" applyFont="1" applyFill="1" applyBorder="1"/>
    <xf numFmtId="0" fontId="6" fillId="9" borderId="5" xfId="0" applyFont="1" applyFill="1" applyBorder="1"/>
    <xf numFmtId="0" fontId="6" fillId="9" borderId="6" xfId="0" applyFont="1" applyFill="1" applyBorder="1"/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10" borderId="5" xfId="0" applyFont="1" applyFill="1" applyBorder="1"/>
    <xf numFmtId="0" fontId="5" fillId="10" borderId="6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5" fillId="6" borderId="6" xfId="0" applyFont="1" applyFill="1" applyBorder="1"/>
    <xf numFmtId="0" fontId="5" fillId="6" borderId="5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10" xfId="0" applyFont="1" applyFill="1" applyBorder="1"/>
    <xf numFmtId="0" fontId="5" fillId="7" borderId="4" xfId="0" applyFont="1" applyFill="1" applyBorder="1"/>
    <xf numFmtId="0" fontId="5" fillId="7" borderId="0" xfId="0" applyFont="1" applyFill="1" applyBorder="1"/>
    <xf numFmtId="165" fontId="5" fillId="7" borderId="0" xfId="0" applyNumberFormat="1" applyFont="1" applyFill="1" applyBorder="1"/>
    <xf numFmtId="165" fontId="5" fillId="7" borderId="6" xfId="0" applyNumberFormat="1" applyFont="1" applyFill="1" applyBorder="1"/>
    <xf numFmtId="165" fontId="5" fillId="7" borderId="11" xfId="0" applyNumberFormat="1" applyFont="1" applyFill="1" applyBorder="1"/>
    <xf numFmtId="165" fontId="5" fillId="7" borderId="8" xfId="0" applyNumberFormat="1" applyFont="1" applyFill="1" applyBorder="1"/>
    <xf numFmtId="9" fontId="5" fillId="7" borderId="0" xfId="24" applyFont="1" applyFill="1" applyBorder="1"/>
    <xf numFmtId="9" fontId="5" fillId="7" borderId="6" xfId="24" applyFont="1" applyFill="1" applyBorder="1"/>
    <xf numFmtId="1" fontId="6" fillId="7" borderId="6" xfId="0" applyNumberFormat="1" applyFont="1" applyFill="1" applyBorder="1"/>
    <xf numFmtId="1" fontId="6" fillId="7" borderId="8" xfId="0" applyNumberFormat="1" applyFont="1" applyFill="1" applyBorder="1"/>
    <xf numFmtId="1" fontId="6" fillId="8" borderId="6" xfId="0" applyNumberFormat="1" applyFont="1" applyFill="1" applyBorder="1"/>
    <xf numFmtId="1" fontId="6" fillId="8" borderId="8" xfId="0" applyNumberFormat="1" applyFont="1" applyFill="1" applyBorder="1"/>
    <xf numFmtId="1" fontId="5" fillId="0" borderId="0" xfId="0" applyNumberFormat="1" applyFont="1"/>
    <xf numFmtId="1" fontId="6" fillId="5" borderId="6" xfId="0" applyNumberFormat="1" applyFont="1" applyFill="1" applyBorder="1"/>
    <xf numFmtId="1" fontId="6" fillId="5" borderId="8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1" fontId="5" fillId="9" borderId="6" xfId="0" applyNumberFormat="1" applyFont="1" applyFill="1" applyBorder="1"/>
    <xf numFmtId="1" fontId="5" fillId="2" borderId="6" xfId="0" applyNumberFormat="1" applyFont="1" applyFill="1" applyBorder="1"/>
    <xf numFmtId="0" fontId="7" fillId="11" borderId="3" xfId="0" applyFont="1" applyFill="1" applyBorder="1"/>
    <xf numFmtId="0" fontId="7" fillId="11" borderId="4" xfId="0" applyFont="1" applyFill="1" applyBorder="1"/>
    <xf numFmtId="0" fontId="6" fillId="11" borderId="5" xfId="0" applyFont="1" applyFill="1" applyBorder="1"/>
    <xf numFmtId="0" fontId="5" fillId="11" borderId="6" xfId="0" applyFont="1" applyFill="1" applyBorder="1"/>
    <xf numFmtId="0" fontId="5" fillId="11" borderId="5" xfId="0" applyFont="1" applyFill="1" applyBorder="1"/>
    <xf numFmtId="0" fontId="7" fillId="11" borderId="5" xfId="0" applyFont="1" applyFill="1" applyBorder="1"/>
    <xf numFmtId="0" fontId="7" fillId="11" borderId="6" xfId="0" applyFont="1" applyFill="1" applyBorder="1"/>
    <xf numFmtId="1" fontId="5" fillId="11" borderId="6" xfId="0" applyNumberFormat="1" applyFont="1" applyFill="1" applyBorder="1"/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</cellXfs>
  <cellStyles count="25">
    <cellStyle name="Comma 2" xfId="1"/>
    <cellStyle name="Comma 2 2" xfId="12"/>
    <cellStyle name="Comma 2 3" xfId="6"/>
    <cellStyle name="Comma 3" xfId="8"/>
    <cellStyle name="Currency 2" xfId="13"/>
    <cellStyle name="Currency 3" xfId="14"/>
    <cellStyle name="Currency 4" xfId="11"/>
    <cellStyle name="Hyperlink 3" xfId="15"/>
    <cellStyle name="Migliaia 2" xfId="16"/>
    <cellStyle name="Normal" xfId="0" builtinId="0"/>
    <cellStyle name="Normal 2" xfId="3"/>
    <cellStyle name="Normal 3" xfId="5"/>
    <cellStyle name="Normal 3 2" xfId="17"/>
    <cellStyle name="Normal 4" xfId="7"/>
    <cellStyle name="Normal 5" xfId="9"/>
    <cellStyle name="Normal 6" xfId="10"/>
    <cellStyle name="Normal 6 2" xfId="18"/>
    <cellStyle name="Normal 7" xfId="4"/>
    <cellStyle name="Percent" xfId="24" builtinId="5"/>
    <cellStyle name="Percent 2" xfId="2"/>
    <cellStyle name="Percent 2 2" xfId="20"/>
    <cellStyle name="Percent 2 3" xfId="19"/>
    <cellStyle name="Percentuale 2" xfId="21"/>
    <cellStyle name="Valuta 2" xfId="22"/>
    <cellStyle name="표준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C1:O26"/>
  <sheetViews>
    <sheetView topLeftCell="A5" workbookViewId="0">
      <selection activeCell="C2" sqref="C2:D26"/>
    </sheetView>
  </sheetViews>
  <sheetFormatPr defaultRowHeight="15.75"/>
  <cols>
    <col min="1" max="2" width="9.140625" style="1"/>
    <col min="3" max="3" width="46" style="1" customWidth="1"/>
    <col min="4" max="4" width="18.42578125" style="1" customWidth="1"/>
    <col min="5" max="8" width="9.140625" style="1"/>
    <col min="9" max="9" width="13.5703125" style="1" bestFit="1" customWidth="1"/>
    <col min="10" max="14" width="9.140625" style="1"/>
    <col min="15" max="15" width="9.28515625" style="1" bestFit="1" customWidth="1"/>
    <col min="16" max="16384" width="9.140625" style="1"/>
  </cols>
  <sheetData>
    <row r="1" spans="3:4" ht="16.5" thickBot="1"/>
    <row r="2" spans="3:4" ht="16.5" thickBot="1">
      <c r="C2" s="6" t="s">
        <v>20</v>
      </c>
      <c r="D2" s="7"/>
    </row>
    <row r="3" spans="3:4">
      <c r="C3" s="14" t="s">
        <v>2</v>
      </c>
      <c r="D3" s="15"/>
    </row>
    <row r="4" spans="3:4">
      <c r="C4" s="10" t="s">
        <v>18</v>
      </c>
      <c r="D4" s="11">
        <v>32100</v>
      </c>
    </row>
    <row r="5" spans="3:4">
      <c r="C5" s="10"/>
      <c r="D5" s="11"/>
    </row>
    <row r="6" spans="3:4">
      <c r="C6" s="12" t="s">
        <v>10</v>
      </c>
      <c r="D6" s="11"/>
    </row>
    <row r="7" spans="3:4">
      <c r="C7" s="10" t="s">
        <v>11</v>
      </c>
      <c r="D7" s="11">
        <v>26000</v>
      </c>
    </row>
    <row r="8" spans="3:4">
      <c r="C8" s="10" t="s">
        <v>19</v>
      </c>
      <c r="D8" s="11">
        <v>12000</v>
      </c>
    </row>
    <row r="9" spans="3:4">
      <c r="C9" s="10" t="s">
        <v>12</v>
      </c>
      <c r="D9" s="11">
        <v>1200</v>
      </c>
    </row>
    <row r="10" spans="3:4">
      <c r="C10" s="10" t="s">
        <v>13</v>
      </c>
      <c r="D10" s="11">
        <v>2700</v>
      </c>
    </row>
    <row r="11" spans="3:4">
      <c r="C11" s="10" t="s">
        <v>14</v>
      </c>
      <c r="D11" s="11">
        <v>68000</v>
      </c>
    </row>
    <row r="12" spans="3:4">
      <c r="C12" s="22" t="s">
        <v>17</v>
      </c>
      <c r="D12" s="23">
        <f>SUM(D7:D11)+D4</f>
        <v>142000</v>
      </c>
    </row>
    <row r="13" spans="3:4">
      <c r="C13" s="10"/>
      <c r="D13" s="11"/>
    </row>
    <row r="14" spans="3:4">
      <c r="C14" s="16" t="s">
        <v>3</v>
      </c>
      <c r="D14" s="17"/>
    </row>
    <row r="15" spans="3:4">
      <c r="C15" s="12" t="s">
        <v>4</v>
      </c>
      <c r="D15" s="11"/>
    </row>
    <row r="16" spans="3:4">
      <c r="C16" s="10" t="s">
        <v>7</v>
      </c>
      <c r="D16" s="11">
        <v>12000</v>
      </c>
    </row>
    <row r="17" spans="3:15">
      <c r="C17" s="10" t="s">
        <v>8</v>
      </c>
      <c r="D17" s="11">
        <v>0</v>
      </c>
      <c r="O17" s="3"/>
    </row>
    <row r="18" spans="3:15">
      <c r="C18" s="10"/>
      <c r="D18" s="11"/>
      <c r="O18" s="3"/>
    </row>
    <row r="19" spans="3:15">
      <c r="C19" s="12" t="s">
        <v>5</v>
      </c>
      <c r="D19" s="11"/>
    </row>
    <row r="20" spans="3:15">
      <c r="C20" s="10" t="s">
        <v>6</v>
      </c>
      <c r="D20" s="11">
        <v>120000</v>
      </c>
    </row>
    <row r="21" spans="3:15">
      <c r="C21" s="22" t="s">
        <v>16</v>
      </c>
      <c r="D21" s="23">
        <f>D20+D16</f>
        <v>132000</v>
      </c>
    </row>
    <row r="22" spans="3:15">
      <c r="C22" s="10"/>
      <c r="D22" s="11"/>
    </row>
    <row r="23" spans="3:15">
      <c r="C23" s="16" t="s">
        <v>0</v>
      </c>
      <c r="D23" s="17"/>
    </row>
    <row r="24" spans="3:15">
      <c r="C24" s="10" t="s">
        <v>1</v>
      </c>
      <c r="D24" s="11">
        <v>10000</v>
      </c>
    </row>
    <row r="25" spans="3:15">
      <c r="C25" s="10"/>
      <c r="D25" s="11"/>
      <c r="I25" s="2"/>
    </row>
    <row r="26" spans="3:15" ht="16.5" thickBot="1">
      <c r="C26" s="20" t="s">
        <v>15</v>
      </c>
      <c r="D26" s="21">
        <f>D24+D21</f>
        <v>142000</v>
      </c>
    </row>
  </sheetData>
  <mergeCells count="1"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topLeftCell="D9" workbookViewId="0">
      <selection activeCell="J3" sqref="J3:K28"/>
    </sheetView>
  </sheetViews>
  <sheetFormatPr defaultRowHeight="15.75"/>
  <cols>
    <col min="1" max="1" width="9.140625" style="1"/>
    <col min="2" max="2" width="33.28515625" style="1" customWidth="1"/>
    <col min="3" max="3" width="18.42578125" style="1" customWidth="1"/>
    <col min="4" max="5" width="9.140625" style="1"/>
    <col min="6" max="6" width="46" style="1" customWidth="1"/>
    <col min="7" max="7" width="21.7109375" style="1" customWidth="1"/>
    <col min="8" max="9" width="9.140625" style="1"/>
    <col min="10" max="10" width="33.28515625" style="1" bestFit="1" customWidth="1"/>
    <col min="11" max="11" width="26.85546875" style="1" customWidth="1"/>
    <col min="12" max="16384" width="9.140625" style="1"/>
  </cols>
  <sheetData>
    <row r="2" spans="2:11" ht="16.5" thickBot="1"/>
    <row r="3" spans="2:11" ht="16.5" thickBot="1">
      <c r="B3" s="48" t="s">
        <v>46</v>
      </c>
      <c r="C3" s="49"/>
      <c r="F3" s="25" t="s">
        <v>45</v>
      </c>
      <c r="G3" s="26"/>
      <c r="J3" s="50" t="s">
        <v>47</v>
      </c>
      <c r="K3" s="51"/>
    </row>
    <row r="4" spans="2:11">
      <c r="B4" s="44" t="s">
        <v>21</v>
      </c>
      <c r="C4" s="45">
        <f>212000-3000</f>
        <v>209000</v>
      </c>
      <c r="F4" s="27" t="s">
        <v>2</v>
      </c>
      <c r="G4" s="28"/>
      <c r="J4" s="52" t="s">
        <v>48</v>
      </c>
      <c r="K4" s="53">
        <f>C19</f>
        <v>65950</v>
      </c>
    </row>
    <row r="5" spans="2:11">
      <c r="B5" s="44" t="s">
        <v>22</v>
      </c>
      <c r="C5" s="45">
        <f>60000-9000</f>
        <v>51000</v>
      </c>
      <c r="F5" s="29" t="s">
        <v>9</v>
      </c>
      <c r="G5" s="30"/>
      <c r="J5" s="52" t="s">
        <v>49</v>
      </c>
      <c r="K5" s="53">
        <f>((26000/5)*(9/12))+((12000/6)*(9/12))+((1200/3)*(9/12))+((2700/3)*(9/12))+((68000/5)*(9/12))</f>
        <v>16575</v>
      </c>
    </row>
    <row r="6" spans="2:11">
      <c r="B6" s="44" t="s">
        <v>23</v>
      </c>
      <c r="C6" s="45">
        <f>C4-C5</f>
        <v>158000</v>
      </c>
      <c r="F6" s="31" t="s">
        <v>40</v>
      </c>
      <c r="G6" s="30">
        <v>3000</v>
      </c>
      <c r="J6" s="52" t="s">
        <v>50</v>
      </c>
      <c r="K6" s="53">
        <f>-G6</f>
        <v>-3000</v>
      </c>
    </row>
    <row r="7" spans="2:11">
      <c r="B7" s="44" t="s">
        <v>24</v>
      </c>
      <c r="C7" s="45"/>
      <c r="F7" s="31" t="s">
        <v>74</v>
      </c>
      <c r="G7" s="30">
        <v>95775</v>
      </c>
      <c r="J7" s="52" t="s">
        <v>51</v>
      </c>
      <c r="K7" s="53">
        <f>G21</f>
        <v>9000</v>
      </c>
    </row>
    <row r="8" spans="2:11">
      <c r="B8" s="44" t="s">
        <v>25</v>
      </c>
      <c r="C8" s="45">
        <v>4800</v>
      </c>
      <c r="F8" s="29" t="s">
        <v>10</v>
      </c>
      <c r="G8" s="30"/>
      <c r="J8" s="52" t="s">
        <v>52</v>
      </c>
      <c r="K8" s="53">
        <f>G20</f>
        <v>10050</v>
      </c>
    </row>
    <row r="9" spans="2:11">
      <c r="B9" s="44" t="s">
        <v>26</v>
      </c>
      <c r="C9" s="45">
        <f>8000-1000</f>
        <v>7000</v>
      </c>
      <c r="F9" s="31" t="s">
        <v>11</v>
      </c>
      <c r="G9" s="30">
        <f>26000-((26000/5)*(9/12))</f>
        <v>22100</v>
      </c>
      <c r="J9" s="52" t="s">
        <v>53</v>
      </c>
      <c r="K9" s="53">
        <f>-C20</f>
        <v>-25000</v>
      </c>
    </row>
    <row r="10" spans="2:11">
      <c r="B10" s="44" t="s">
        <v>27</v>
      </c>
      <c r="C10" s="45">
        <f>44000-1100</f>
        <v>42900</v>
      </c>
      <c r="F10" s="31" t="s">
        <v>19</v>
      </c>
      <c r="G10" s="30">
        <f>12000-((12000/6)*(9/12))</f>
        <v>10500</v>
      </c>
      <c r="J10" s="52" t="s">
        <v>54</v>
      </c>
      <c r="K10" s="53">
        <f>-C16</f>
        <v>-9000</v>
      </c>
    </row>
    <row r="11" spans="2:11">
      <c r="B11" s="44" t="s">
        <v>36</v>
      </c>
      <c r="C11" s="45">
        <f>1400*6</f>
        <v>8400</v>
      </c>
      <c r="F11" s="31" t="s">
        <v>12</v>
      </c>
      <c r="G11" s="30">
        <f>1200-((1200/3)*(9/12))</f>
        <v>900</v>
      </c>
      <c r="J11" s="12" t="s">
        <v>55</v>
      </c>
      <c r="K11" s="13">
        <f>SUM(K4:K10)</f>
        <v>64575</v>
      </c>
    </row>
    <row r="12" spans="2:11">
      <c r="B12" s="44" t="s">
        <v>28</v>
      </c>
      <c r="C12" s="45">
        <v>900</v>
      </c>
      <c r="F12" s="31" t="s">
        <v>13</v>
      </c>
      <c r="G12" s="30">
        <f>2700-((2700/3)*(9/12))</f>
        <v>2025</v>
      </c>
      <c r="J12" s="52"/>
      <c r="K12" s="53"/>
    </row>
    <row r="13" spans="2:11">
      <c r="B13" s="44" t="s">
        <v>29</v>
      </c>
      <c r="C13" s="45">
        <v>18000</v>
      </c>
      <c r="F13" s="31" t="s">
        <v>14</v>
      </c>
      <c r="G13" s="30">
        <f>68000-(68000/5)*(9/12)</f>
        <v>57800</v>
      </c>
      <c r="J13" s="52" t="s">
        <v>56</v>
      </c>
      <c r="K13" s="53"/>
    </row>
    <row r="14" spans="2:11">
      <c r="B14" s="44" t="s">
        <v>30</v>
      </c>
      <c r="C14" s="45">
        <f>SUM(C8:C13)</f>
        <v>82000</v>
      </c>
      <c r="F14" s="37" t="s">
        <v>17</v>
      </c>
      <c r="G14" s="38">
        <f>SUM(G6:G13)</f>
        <v>192100</v>
      </c>
      <c r="J14" s="52" t="s">
        <v>57</v>
      </c>
      <c r="K14" s="53">
        <f>G13</f>
        <v>57800</v>
      </c>
    </row>
    <row r="15" spans="2:11">
      <c r="B15" s="44" t="s">
        <v>31</v>
      </c>
      <c r="C15" s="45">
        <f>C6-C14</f>
        <v>76000</v>
      </c>
      <c r="F15" s="31"/>
      <c r="G15" s="30"/>
      <c r="J15" s="52" t="s">
        <v>58</v>
      </c>
      <c r="K15" s="53">
        <v>12000</v>
      </c>
    </row>
    <row r="16" spans="2:11">
      <c r="B16" s="44" t="s">
        <v>38</v>
      </c>
      <c r="C16" s="45">
        <f>120000*7.5%</f>
        <v>9000</v>
      </c>
      <c r="F16" s="33" t="s">
        <v>3</v>
      </c>
      <c r="G16" s="34"/>
      <c r="J16" s="52" t="s">
        <v>59</v>
      </c>
      <c r="K16" s="53">
        <v>2700</v>
      </c>
    </row>
    <row r="17" spans="2:11">
      <c r="B17" s="44" t="str">
        <f>B15</f>
        <v>OPERATING PROFITS</v>
      </c>
      <c r="C17" s="45">
        <f>C15-C16</f>
        <v>67000</v>
      </c>
      <c r="F17" s="29" t="s">
        <v>4</v>
      </c>
      <c r="G17" s="30"/>
      <c r="J17" s="52" t="s">
        <v>60</v>
      </c>
      <c r="K17" s="53">
        <v>1200</v>
      </c>
    </row>
    <row r="18" spans="2:11">
      <c r="B18" s="44" t="s">
        <v>32</v>
      </c>
      <c r="C18" s="45">
        <f>C17*15%</f>
        <v>10050</v>
      </c>
      <c r="F18" s="31" t="s">
        <v>7</v>
      </c>
      <c r="G18" s="30">
        <v>12000</v>
      </c>
      <c r="J18" s="52" t="s">
        <v>61</v>
      </c>
      <c r="K18" s="53">
        <v>26000</v>
      </c>
    </row>
    <row r="19" spans="2:11">
      <c r="B19" s="29" t="s">
        <v>33</v>
      </c>
      <c r="C19" s="32">
        <f>C15-C18</f>
        <v>65950</v>
      </c>
      <c r="F19" s="31" t="s">
        <v>37</v>
      </c>
      <c r="G19" s="30">
        <v>0</v>
      </c>
      <c r="J19" s="12" t="s">
        <v>62</v>
      </c>
      <c r="K19" s="13">
        <f>-SUM(K14:K18)</f>
        <v>-99700</v>
      </c>
    </row>
    <row r="20" spans="2:11">
      <c r="B20" s="44" t="s">
        <v>34</v>
      </c>
      <c r="C20" s="45">
        <v>25000</v>
      </c>
      <c r="F20" s="31" t="s">
        <v>39</v>
      </c>
      <c r="G20" s="30">
        <f>C18</f>
        <v>10050</v>
      </c>
      <c r="J20" s="52"/>
      <c r="K20" s="53"/>
    </row>
    <row r="21" spans="2:11" ht="16.5" thickBot="1">
      <c r="B21" s="35" t="s">
        <v>35</v>
      </c>
      <c r="C21" s="36">
        <f>C19-C20</f>
        <v>40950</v>
      </c>
      <c r="F21" s="31" t="s">
        <v>42</v>
      </c>
      <c r="G21" s="30">
        <v>9000</v>
      </c>
      <c r="J21" s="52" t="s">
        <v>63</v>
      </c>
      <c r="K21" s="53">
        <f>120000</f>
        <v>120000</v>
      </c>
    </row>
    <row r="22" spans="2:11">
      <c r="B22" s="24"/>
      <c r="C22" s="24"/>
      <c r="F22" s="31" t="s">
        <v>43</v>
      </c>
      <c r="G22" s="30">
        <v>1000</v>
      </c>
      <c r="J22" s="52" t="s">
        <v>64</v>
      </c>
      <c r="K22" s="53">
        <v>-12000</v>
      </c>
    </row>
    <row r="23" spans="2:11">
      <c r="B23" s="24"/>
      <c r="C23" s="24"/>
      <c r="F23" s="31" t="s">
        <v>44</v>
      </c>
      <c r="G23" s="30">
        <v>1100</v>
      </c>
      <c r="J23" s="52" t="s">
        <v>66</v>
      </c>
      <c r="K23" s="53">
        <v>-10000</v>
      </c>
    </row>
    <row r="24" spans="2:11">
      <c r="B24" s="24"/>
      <c r="C24" s="24"/>
      <c r="F24" s="29" t="s">
        <v>5</v>
      </c>
      <c r="G24" s="30"/>
      <c r="J24" s="12" t="s">
        <v>65</v>
      </c>
      <c r="K24" s="13">
        <f>SUM(K21:K23)</f>
        <v>98000</v>
      </c>
    </row>
    <row r="25" spans="2:11">
      <c r="F25" s="31" t="s">
        <v>6</v>
      </c>
      <c r="G25" s="30">
        <f>120000-12000</f>
        <v>108000</v>
      </c>
      <c r="J25" s="52"/>
      <c r="K25" s="53"/>
    </row>
    <row r="26" spans="2:11">
      <c r="F26" s="37" t="s">
        <v>16</v>
      </c>
      <c r="G26" s="38">
        <f>SUM(G18:G25)</f>
        <v>141150</v>
      </c>
      <c r="J26" s="52" t="s">
        <v>67</v>
      </c>
      <c r="K26" s="53">
        <f>K11+K19+K24</f>
        <v>62875</v>
      </c>
    </row>
    <row r="27" spans="2:11">
      <c r="F27" s="31"/>
      <c r="G27" s="30"/>
      <c r="J27" s="52" t="s">
        <v>68</v>
      </c>
      <c r="K27" s="53" t="s">
        <v>41</v>
      </c>
    </row>
    <row r="28" spans="2:11" ht="16.5" thickBot="1">
      <c r="F28" s="33" t="s">
        <v>0</v>
      </c>
      <c r="G28" s="34"/>
      <c r="J28" s="18" t="s">
        <v>69</v>
      </c>
      <c r="K28" s="19">
        <f>K26</f>
        <v>62875</v>
      </c>
    </row>
    <row r="29" spans="2:11">
      <c r="F29" s="31" t="s">
        <v>1</v>
      </c>
      <c r="G29" s="30">
        <v>10000</v>
      </c>
    </row>
    <row r="30" spans="2:11">
      <c r="F30" s="31" t="s">
        <v>35</v>
      </c>
      <c r="G30" s="30">
        <f>C21</f>
        <v>40950</v>
      </c>
    </row>
    <row r="31" spans="2:11">
      <c r="F31" s="31"/>
      <c r="G31" s="30"/>
    </row>
    <row r="32" spans="2:11" ht="16.5" thickBot="1">
      <c r="F32" s="39" t="s">
        <v>15</v>
      </c>
      <c r="G32" s="40">
        <f>G30+G29+G26</f>
        <v>192100</v>
      </c>
    </row>
  </sheetData>
  <mergeCells count="3">
    <mergeCell ref="F3:G3"/>
    <mergeCell ref="B3:C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2"/>
  <sheetViews>
    <sheetView topLeftCell="D7" workbookViewId="0">
      <selection activeCell="J3" sqref="J3:K23"/>
    </sheetView>
  </sheetViews>
  <sheetFormatPr defaultRowHeight="15.75"/>
  <cols>
    <col min="1" max="1" width="9.140625" style="1"/>
    <col min="2" max="2" width="33.28515625" style="1" customWidth="1"/>
    <col min="3" max="3" width="18.42578125" style="1" customWidth="1"/>
    <col min="4" max="5" width="9.140625" style="1"/>
    <col min="6" max="6" width="46" style="1" customWidth="1"/>
    <col min="7" max="7" width="21.7109375" style="1" customWidth="1"/>
    <col min="8" max="9" width="9.140625" style="1"/>
    <col min="10" max="10" width="36.85546875" style="1" customWidth="1"/>
    <col min="11" max="11" width="26.85546875" style="1" customWidth="1"/>
    <col min="12" max="16384" width="9.140625" style="1"/>
  </cols>
  <sheetData>
    <row r="2" spans="2:11" ht="16.5" thickBot="1"/>
    <row r="3" spans="2:11" ht="16.5" thickBot="1">
      <c r="B3" s="54" t="s">
        <v>71</v>
      </c>
      <c r="C3" s="55"/>
      <c r="F3" s="66" t="s">
        <v>72</v>
      </c>
      <c r="G3" s="67"/>
      <c r="J3" s="50" t="s">
        <v>73</v>
      </c>
      <c r="K3" s="51"/>
    </row>
    <row r="4" spans="2:11">
      <c r="B4" s="56" t="s">
        <v>21</v>
      </c>
      <c r="C4" s="57">
        <f>327000-5000+3000</f>
        <v>325000</v>
      </c>
      <c r="F4" s="58" t="s">
        <v>2</v>
      </c>
      <c r="G4" s="59"/>
      <c r="J4" s="8" t="s">
        <v>48</v>
      </c>
      <c r="K4" s="9">
        <f>C19</f>
        <v>106105</v>
      </c>
    </row>
    <row r="5" spans="2:11">
      <c r="B5" s="56" t="s">
        <v>22</v>
      </c>
      <c r="C5" s="57">
        <f>105000-12000</f>
        <v>93000</v>
      </c>
      <c r="F5" s="22" t="s">
        <v>9</v>
      </c>
      <c r="G5" s="60"/>
      <c r="J5" s="8" t="s">
        <v>49</v>
      </c>
      <c r="K5" s="9">
        <f>((26000/5))+((12000/6))+((1200/3))+((2700/3))+(68000/5)</f>
        <v>22100</v>
      </c>
    </row>
    <row r="6" spans="2:11">
      <c r="B6" s="56" t="s">
        <v>23</v>
      </c>
      <c r="C6" s="57">
        <f>C4-C5</f>
        <v>232000</v>
      </c>
      <c r="F6" s="61" t="s">
        <v>40</v>
      </c>
      <c r="G6" s="60">
        <v>5000</v>
      </c>
      <c r="J6" s="8" t="s">
        <v>50</v>
      </c>
      <c r="K6" s="9">
        <f>G6-'IS,BS,CF (9 MONTHS-1994)'!G6</f>
        <v>2000</v>
      </c>
    </row>
    <row r="7" spans="2:11">
      <c r="B7" s="56" t="s">
        <v>24</v>
      </c>
      <c r="C7" s="57"/>
      <c r="F7" s="61" t="s">
        <v>75</v>
      </c>
      <c r="G7" s="60">
        <v>139575</v>
      </c>
      <c r="J7" s="8" t="s">
        <v>51</v>
      </c>
      <c r="K7" s="9">
        <f>G21-'IS,BS,CF (9 MONTHS-1994)'!G21</f>
        <v>3000</v>
      </c>
    </row>
    <row r="8" spans="2:11">
      <c r="B8" s="56" t="s">
        <v>25</v>
      </c>
      <c r="C8" s="57">
        <v>6200</v>
      </c>
      <c r="F8" s="22" t="s">
        <v>10</v>
      </c>
      <c r="G8" s="60"/>
      <c r="J8" s="8" t="s">
        <v>52</v>
      </c>
      <c r="K8" s="9">
        <f>C18-'IS,BS,CF (9 MONTHS-1994)'!C18</f>
        <v>7245</v>
      </c>
    </row>
    <row r="9" spans="2:11">
      <c r="B9" s="56" t="s">
        <v>26</v>
      </c>
      <c r="C9" s="57">
        <f>12000-1000</f>
        <v>11000</v>
      </c>
      <c r="F9" s="61" t="s">
        <v>11</v>
      </c>
      <c r="G9" s="60">
        <f>'IS,BS,CF (9 MONTHS-1994)'!G9-((26000/5))</f>
        <v>16900</v>
      </c>
      <c r="J9" s="8" t="s">
        <v>53</v>
      </c>
      <c r="K9" s="9">
        <f>-C20</f>
        <v>-40000</v>
      </c>
    </row>
    <row r="10" spans="2:11">
      <c r="B10" s="56" t="s">
        <v>27</v>
      </c>
      <c r="C10" s="57">
        <f>76000-1400</f>
        <v>74600</v>
      </c>
      <c r="F10" s="61" t="s">
        <v>19</v>
      </c>
      <c r="G10" s="60">
        <f>'IS,BS,CF (9 MONTHS-1994)'!G10-((12000/6))</f>
        <v>8500</v>
      </c>
      <c r="J10" s="8" t="s">
        <v>54</v>
      </c>
      <c r="K10" s="9">
        <f>-C16</f>
        <v>-8100</v>
      </c>
    </row>
    <row r="11" spans="2:11">
      <c r="B11" s="56" t="s">
        <v>70</v>
      </c>
      <c r="C11" s="57">
        <f>1400*12</f>
        <v>16800</v>
      </c>
      <c r="F11" s="61" t="s">
        <v>12</v>
      </c>
      <c r="G11" s="60">
        <f>'IS,BS,CF (9 MONTHS-1994)'!G11-((1200/3))</f>
        <v>500</v>
      </c>
      <c r="J11" s="12" t="s">
        <v>55</v>
      </c>
      <c r="K11" s="13">
        <f>SUM(K4:K10)</f>
        <v>92350</v>
      </c>
    </row>
    <row r="12" spans="2:11">
      <c r="B12" s="56" t="s">
        <v>28</v>
      </c>
      <c r="C12" s="57">
        <v>0</v>
      </c>
      <c r="F12" s="61" t="s">
        <v>13</v>
      </c>
      <c r="G12" s="60">
        <f>'IS,BS,CF (9 MONTHS-1994)'!G12-((2700/3))</f>
        <v>1125</v>
      </c>
      <c r="J12" s="8"/>
      <c r="K12" s="9"/>
    </row>
    <row r="13" spans="2:11">
      <c r="B13" s="56" t="s">
        <v>29</v>
      </c>
      <c r="C13" s="57">
        <v>0</v>
      </c>
      <c r="F13" s="61" t="s">
        <v>14</v>
      </c>
      <c r="G13" s="60">
        <f>'IS,BS,CF (9 MONTHS-1994)'!G13-(68000/5)</f>
        <v>44200</v>
      </c>
      <c r="J13" s="8" t="s">
        <v>56</v>
      </c>
      <c r="K13" s="9">
        <v>0</v>
      </c>
    </row>
    <row r="14" spans="2:11">
      <c r="B14" s="56" t="s">
        <v>30</v>
      </c>
      <c r="C14" s="57">
        <f>SUM(C8:C13)</f>
        <v>108600</v>
      </c>
      <c r="F14" s="37" t="s">
        <v>17</v>
      </c>
      <c r="G14" s="38">
        <f>SUM(G6:G13)</f>
        <v>215800</v>
      </c>
      <c r="J14" s="64" t="s">
        <v>62</v>
      </c>
      <c r="K14" s="65">
        <f>K13</f>
        <v>0</v>
      </c>
    </row>
    <row r="15" spans="2:11">
      <c r="B15" s="56" t="s">
        <v>31</v>
      </c>
      <c r="C15" s="57">
        <f>C6-C14</f>
        <v>123400</v>
      </c>
      <c r="F15" s="61"/>
      <c r="G15" s="60"/>
      <c r="J15" s="8"/>
      <c r="K15" s="9"/>
    </row>
    <row r="16" spans="2:11">
      <c r="B16" s="56" t="s">
        <v>38</v>
      </c>
      <c r="C16" s="57">
        <f>(120000-12000)*7.5%</f>
        <v>8100</v>
      </c>
      <c r="F16" s="62" t="s">
        <v>3</v>
      </c>
      <c r="G16" s="63"/>
      <c r="J16" s="8" t="s">
        <v>63</v>
      </c>
      <c r="K16" s="9">
        <v>0</v>
      </c>
    </row>
    <row r="17" spans="2:11">
      <c r="B17" s="56" t="str">
        <f>B15</f>
        <v>OPERATING PROFITS</v>
      </c>
      <c r="C17" s="57">
        <f>C15-C16</f>
        <v>115300</v>
      </c>
      <c r="F17" s="22" t="s">
        <v>4</v>
      </c>
      <c r="G17" s="60"/>
      <c r="J17" s="8" t="s">
        <v>64</v>
      </c>
      <c r="K17" s="9">
        <v>-12000</v>
      </c>
    </row>
    <row r="18" spans="2:11">
      <c r="B18" s="56" t="s">
        <v>32</v>
      </c>
      <c r="C18" s="57">
        <f>C17*15%</f>
        <v>17295</v>
      </c>
      <c r="F18" s="61" t="s">
        <v>7</v>
      </c>
      <c r="G18" s="60">
        <v>12000</v>
      </c>
      <c r="J18" s="8" t="s">
        <v>66</v>
      </c>
      <c r="K18" s="9">
        <f>10000-10000</f>
        <v>0</v>
      </c>
    </row>
    <row r="19" spans="2:11">
      <c r="B19" s="29" t="s">
        <v>33</v>
      </c>
      <c r="C19" s="32">
        <f>C15-C18</f>
        <v>106105</v>
      </c>
      <c r="F19" s="61" t="s">
        <v>37</v>
      </c>
      <c r="G19" s="60">
        <v>0</v>
      </c>
      <c r="J19" s="12" t="s">
        <v>65</v>
      </c>
      <c r="K19" s="13">
        <f>SUM(K16:K18)</f>
        <v>-12000</v>
      </c>
    </row>
    <row r="20" spans="2:11">
      <c r="B20" s="56" t="s">
        <v>34</v>
      </c>
      <c r="C20" s="57">
        <v>40000</v>
      </c>
      <c r="F20" s="61" t="s">
        <v>39</v>
      </c>
      <c r="G20" s="60">
        <f>C18</f>
        <v>17295</v>
      </c>
      <c r="J20" s="8"/>
      <c r="K20" s="9"/>
    </row>
    <row r="21" spans="2:11" ht="16.5" thickBot="1">
      <c r="B21" s="35" t="s">
        <v>35</v>
      </c>
      <c r="C21" s="36">
        <f>C19-C20</f>
        <v>66105</v>
      </c>
      <c r="F21" s="61" t="s">
        <v>42</v>
      </c>
      <c r="G21" s="60">
        <f>12000</f>
        <v>12000</v>
      </c>
      <c r="J21" s="8" t="s">
        <v>67</v>
      </c>
      <c r="K21" s="9">
        <f>K11+K14+K19</f>
        <v>80350</v>
      </c>
    </row>
    <row r="22" spans="2:11">
      <c r="B22" s="24"/>
      <c r="C22" s="24"/>
      <c r="F22" s="61" t="s">
        <v>43</v>
      </c>
      <c r="G22" s="60">
        <v>1000</v>
      </c>
      <c r="J22" s="8" t="s">
        <v>68</v>
      </c>
      <c r="K22" s="9">
        <f>62875</f>
        <v>62875</v>
      </c>
    </row>
    <row r="23" spans="2:11" ht="16.5" thickBot="1">
      <c r="B23" s="24"/>
      <c r="C23" s="24"/>
      <c r="F23" s="61" t="s">
        <v>44</v>
      </c>
      <c r="G23" s="60">
        <v>1400</v>
      </c>
      <c r="J23" s="18" t="s">
        <v>69</v>
      </c>
      <c r="K23" s="19">
        <f>K21+K22</f>
        <v>143225</v>
      </c>
    </row>
    <row r="24" spans="2:11">
      <c r="B24" s="24"/>
      <c r="C24" s="24"/>
      <c r="F24" s="22" t="s">
        <v>5</v>
      </c>
      <c r="G24" s="60"/>
    </row>
    <row r="25" spans="2:11">
      <c r="F25" s="61" t="s">
        <v>6</v>
      </c>
      <c r="G25" s="60">
        <f>120000-12000-12000</f>
        <v>96000</v>
      </c>
    </row>
    <row r="26" spans="2:11">
      <c r="F26" s="37" t="s">
        <v>16</v>
      </c>
      <c r="G26" s="38">
        <f>SUM(G18:G25)</f>
        <v>139695</v>
      </c>
    </row>
    <row r="27" spans="2:11">
      <c r="F27" s="61"/>
      <c r="G27" s="60"/>
    </row>
    <row r="28" spans="2:11">
      <c r="F28" s="62" t="s">
        <v>0</v>
      </c>
      <c r="G28" s="63"/>
    </row>
    <row r="29" spans="2:11">
      <c r="F29" s="61" t="s">
        <v>1</v>
      </c>
      <c r="G29" s="60">
        <v>10000</v>
      </c>
    </row>
    <row r="30" spans="2:11">
      <c r="F30" s="61" t="s">
        <v>35</v>
      </c>
      <c r="G30" s="60">
        <f>C21</f>
        <v>66105</v>
      </c>
    </row>
    <row r="31" spans="2:11">
      <c r="F31" s="61"/>
      <c r="G31" s="60"/>
    </row>
    <row r="32" spans="2:11" ht="16.5" thickBot="1">
      <c r="F32" s="39" t="s">
        <v>15</v>
      </c>
      <c r="G32" s="40">
        <f>G30+G29+G26</f>
        <v>215800</v>
      </c>
    </row>
  </sheetData>
  <mergeCells count="3">
    <mergeCell ref="B3:C3"/>
    <mergeCell ref="F3:G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E18"/>
  <sheetViews>
    <sheetView workbookViewId="0">
      <selection activeCell="J17" sqref="J17"/>
    </sheetView>
  </sheetViews>
  <sheetFormatPr defaultRowHeight="15.75"/>
  <cols>
    <col min="1" max="2" width="9.140625" style="1"/>
    <col min="3" max="3" width="43.5703125" style="1" bestFit="1" customWidth="1"/>
    <col min="4" max="16384" width="9.140625" style="1"/>
  </cols>
  <sheetData>
    <row r="1" spans="3:5" ht="16.5" thickBot="1"/>
    <row r="2" spans="3:5" ht="16.5" thickBot="1">
      <c r="C2" s="66" t="s">
        <v>88</v>
      </c>
      <c r="D2" s="68"/>
      <c r="E2" s="67"/>
    </row>
    <row r="3" spans="3:5">
      <c r="C3" s="69"/>
      <c r="D3" s="70">
        <v>1994</v>
      </c>
      <c r="E3" s="71">
        <v>1995</v>
      </c>
    </row>
    <row r="4" spans="3:5">
      <c r="C4" s="33" t="s">
        <v>76</v>
      </c>
      <c r="D4" s="72"/>
      <c r="E4" s="30"/>
    </row>
    <row r="5" spans="3:5">
      <c r="C5" s="31" t="s">
        <v>77</v>
      </c>
      <c r="D5" s="77">
        <f>'IS,BS,CF (9 MONTHS-1994)'!C19/'IS,BS,CF (9 MONTHS-1994)'!C4</f>
        <v>0.31555023923444975</v>
      </c>
      <c r="E5" s="78">
        <f>'IS,BS,CF (12 MONTHS-1995)'!C19/'IS,BS,CF (12 MONTHS-1995)'!C4</f>
        <v>0.32647692307692305</v>
      </c>
    </row>
    <row r="6" spans="3:5">
      <c r="C6" s="31" t="s">
        <v>78</v>
      </c>
      <c r="D6" s="77">
        <f>'IS,BS,CF (9 MONTHS-1994)'!C19/'IS,BS,CF (9 MONTHS-1994)'!G14</f>
        <v>0.34331077563768869</v>
      </c>
      <c r="E6" s="78">
        <f>'IS,BS,CF (12 MONTHS-1995)'!C19/'IS,BS,CF (12 MONTHS-1995)'!G14</f>
        <v>0.49168211306765525</v>
      </c>
    </row>
    <row r="7" spans="3:5">
      <c r="C7" s="31" t="s">
        <v>79</v>
      </c>
      <c r="D7" s="77">
        <f>'IS,BS,CF (9 MONTHS-1994)'!C19/('IS,BS,CF (9 MONTHS-1994)'!G29+'IS,BS,CF (9 MONTHS-1994)'!G30)</f>
        <v>1.2944062806673209</v>
      </c>
      <c r="E7" s="78">
        <f>'IS,BS,CF (12 MONTHS-1995)'!C19/('IS,BS,CF (12 MONTHS-1995)'!G29+'IS,BS,CF (12 MONTHS-1995)'!G30)</f>
        <v>1.394192234412982</v>
      </c>
    </row>
    <row r="8" spans="3:5">
      <c r="C8" s="31"/>
      <c r="D8" s="73"/>
      <c r="E8" s="74"/>
    </row>
    <row r="9" spans="3:5">
      <c r="C9" s="33" t="s">
        <v>80</v>
      </c>
      <c r="D9" s="73"/>
      <c r="E9" s="74"/>
    </row>
    <row r="10" spans="3:5">
      <c r="C10" s="31" t="s">
        <v>81</v>
      </c>
      <c r="D10" s="73">
        <f>('IS,BS,CF (9 MONTHS-1994)'!G6+'IS,BS,CF (9 MONTHS-1994)'!G7)/(SUM('IS,BS,CF (9 MONTHS-1994)'!G18:G23))</f>
        <v>2.9796380090497738</v>
      </c>
      <c r="E10" s="74">
        <f>('IS,BS,CF (12 MONTHS-1995)'!G6+'IS,BS,CF (12 MONTHS-1995)'!G7)/(SUM('IS,BS,CF (12 MONTHS-1995)'!G18:G23))</f>
        <v>3.3087309760842203</v>
      </c>
    </row>
    <row r="11" spans="3:5">
      <c r="C11" s="31" t="s">
        <v>82</v>
      </c>
      <c r="D11" s="73">
        <f>SUM('IS,BS,CF (9 MONTHS-1994)'!G18:G23)/'IS,BS,CF (9 MONTHS-1994)'!K11</f>
        <v>0.51335656213704994</v>
      </c>
      <c r="E11" s="74">
        <f>SUM('IS,BS,CF (12 MONTHS-1995)'!G18:G23)/'IS,BS,CF (12 MONTHS-1995)'!K11</f>
        <v>0.47314564158094208</v>
      </c>
    </row>
    <row r="12" spans="3:5">
      <c r="C12" s="31"/>
      <c r="D12" s="73"/>
      <c r="E12" s="74"/>
    </row>
    <row r="13" spans="3:5">
      <c r="C13" s="33" t="s">
        <v>83</v>
      </c>
      <c r="D13" s="73"/>
      <c r="E13" s="74"/>
    </row>
    <row r="14" spans="3:5">
      <c r="C14" s="31" t="s">
        <v>84</v>
      </c>
      <c r="D14" s="73">
        <f>'IS,BS,CF (9 MONTHS-1994)'!G26/('IS,BS,CF (9 MONTHS-1994)'!G29+'IS,BS,CF (9 MONTHS-1994)'!G30)</f>
        <v>2.7703631010794898</v>
      </c>
      <c r="E14" s="74">
        <f>'IS,BS,CF (12 MONTHS-1995)'!G26/('IS,BS,CF (12 MONTHS-1995)'!G29+'IS,BS,CF (12 MONTHS-1995)'!G30)</f>
        <v>1.8355561395440509</v>
      </c>
    </row>
    <row r="15" spans="3:5">
      <c r="C15" s="31" t="s">
        <v>85</v>
      </c>
      <c r="D15" s="73">
        <f>'IS,BS,CF (9 MONTHS-1994)'!C16/'IS,BS,CF (9 MONTHS-1994)'!C15</f>
        <v>0.11842105263157894</v>
      </c>
      <c r="E15" s="74">
        <f>'IS,BS,CF (12 MONTHS-1995)'!C16/'IS,BS,CF (12 MONTHS-1995)'!C15</f>
        <v>6.5640194489465148E-2</v>
      </c>
    </row>
    <row r="16" spans="3:5">
      <c r="C16" s="31"/>
      <c r="D16" s="73"/>
      <c r="E16" s="74"/>
    </row>
    <row r="17" spans="3:5">
      <c r="C17" s="33" t="s">
        <v>86</v>
      </c>
      <c r="D17" s="73"/>
      <c r="E17" s="74"/>
    </row>
    <row r="18" spans="3:5" ht="16.5" thickBot="1">
      <c r="C18" s="41" t="s">
        <v>87</v>
      </c>
      <c r="D18" s="75">
        <f>'IS,BS,CF (9 MONTHS-1994)'!C4/'IS,BS,CF (9 MONTHS-1994)'!G14</f>
        <v>1.0879750130140551</v>
      </c>
      <c r="E18" s="76">
        <f>'IS,BS,CF (12 MONTHS-1995)'!C4/'IS,BS,CF (12 MONTHS-1995)'!G14</f>
        <v>1.5060240963855422</v>
      </c>
    </row>
  </sheetData>
  <mergeCells count="1"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2"/>
  <sheetViews>
    <sheetView tabSelected="1" topLeftCell="E5" workbookViewId="0">
      <selection activeCell="M16" sqref="M16"/>
    </sheetView>
  </sheetViews>
  <sheetFormatPr defaultRowHeight="15.75"/>
  <cols>
    <col min="1" max="1" width="9.140625" style="1"/>
    <col min="2" max="2" width="40.5703125" style="1" customWidth="1"/>
    <col min="3" max="3" width="27.140625" style="1" customWidth="1"/>
    <col min="4" max="5" width="9.140625" style="1"/>
    <col min="6" max="6" width="46" style="1" customWidth="1"/>
    <col min="7" max="7" width="21.7109375" style="1" customWidth="1"/>
    <col min="8" max="9" width="9.140625" style="1"/>
    <col min="10" max="10" width="36.85546875" style="1" customWidth="1"/>
    <col min="11" max="11" width="32.28515625" style="1" customWidth="1"/>
    <col min="12" max="16384" width="9.140625" style="1"/>
  </cols>
  <sheetData>
    <row r="2" spans="2:11" ht="16.5" thickBot="1"/>
    <row r="3" spans="2:11" ht="16.5" thickBot="1">
      <c r="B3" s="86" t="s">
        <v>93</v>
      </c>
      <c r="C3" s="87"/>
      <c r="F3" s="4" t="s">
        <v>92</v>
      </c>
      <c r="G3" s="5"/>
      <c r="J3" s="98" t="s">
        <v>91</v>
      </c>
      <c r="K3" s="99"/>
    </row>
    <row r="4" spans="2:11">
      <c r="B4" s="42" t="s">
        <v>21</v>
      </c>
      <c r="C4" s="43">
        <f>'IS,BS,CF (12 MONTHS-1995)'!C4*1.09</f>
        <v>354250</v>
      </c>
      <c r="F4" s="90" t="s">
        <v>2</v>
      </c>
      <c r="G4" s="91"/>
      <c r="J4" s="44" t="s">
        <v>48</v>
      </c>
      <c r="K4" s="88">
        <f>C19</f>
        <v>69982.651598401615</v>
      </c>
    </row>
    <row r="5" spans="2:11">
      <c r="B5" s="42" t="s">
        <v>22</v>
      </c>
      <c r="C5" s="43">
        <f>('IS,BS,CF (12 MONTHS-1995)'!C5/'IS,BS,CF (12 MONTHS-1995)'!C4)*'PROFORMA FINANCIAL STATEMENTS'!C4</f>
        <v>101370</v>
      </c>
      <c r="F5" s="92" t="s">
        <v>9</v>
      </c>
      <c r="G5" s="93"/>
      <c r="J5" s="44" t="s">
        <v>49</v>
      </c>
      <c r="K5" s="45">
        <f>((26000/5))+((12000/6))+((1200/3))+((2700/3))+(68000/5)</f>
        <v>22100</v>
      </c>
    </row>
    <row r="6" spans="2:11">
      <c r="B6" s="42" t="s">
        <v>23</v>
      </c>
      <c r="C6" s="43">
        <f>C4-C5</f>
        <v>252880</v>
      </c>
      <c r="F6" s="94" t="s">
        <v>40</v>
      </c>
      <c r="G6" s="93">
        <v>5000</v>
      </c>
      <c r="J6" s="44" t="s">
        <v>50</v>
      </c>
      <c r="K6" s="45">
        <v>0</v>
      </c>
    </row>
    <row r="7" spans="2:11">
      <c r="B7" s="42" t="s">
        <v>24</v>
      </c>
      <c r="C7" s="43"/>
      <c r="F7" s="94" t="s">
        <v>90</v>
      </c>
      <c r="G7" s="93">
        <v>92937</v>
      </c>
      <c r="J7" s="44" t="s">
        <v>89</v>
      </c>
      <c r="K7" s="45">
        <f>G21-'IS,BS,CF (12 MONTHS-1995)'!G21</f>
        <v>-12000</v>
      </c>
    </row>
    <row r="8" spans="2:11">
      <c r="B8" s="42" t="s">
        <v>25</v>
      </c>
      <c r="C8" s="89">
        <f>'IS,BS,CF (12 MONTHS-1995)'!C8*(1+('IS,BS,CF (12 MONTHS-1995)'!C8-'IS,BS,CF (9 MONTHS-1994)'!C8)/'IS,BS,CF (9 MONTHS-1994)'!C8)</f>
        <v>8008.3333333333339</v>
      </c>
      <c r="F8" s="92" t="s">
        <v>10</v>
      </c>
      <c r="G8" s="93"/>
      <c r="J8" s="44" t="s">
        <v>52</v>
      </c>
      <c r="K8" s="88">
        <f>C18-'IS,BS,CF (9 MONTHS-1994)'!C18</f>
        <v>1029.2914585414601</v>
      </c>
    </row>
    <row r="9" spans="2:11">
      <c r="B9" s="42" t="s">
        <v>26</v>
      </c>
      <c r="C9" s="89">
        <f>'IS,BS,CF (12 MONTHS-1995)'!C9*(1+('IS,BS,CF (12 MONTHS-1995)'!C9-'IS,BS,CF (9 MONTHS-1994)'!C9)/'IS,BS,CF (9 MONTHS-1994)'!C9)</f>
        <v>17285.714285714286</v>
      </c>
      <c r="F9" s="94" t="s">
        <v>11</v>
      </c>
      <c r="G9" s="93">
        <f>'IS,BS,CF (12 MONTHS-1995)'!G9-((26000/5))</f>
        <v>11700</v>
      </c>
      <c r="J9" s="44" t="s">
        <v>53</v>
      </c>
      <c r="K9" s="45">
        <f>-C20</f>
        <v>-40000</v>
      </c>
    </row>
    <row r="10" spans="2:11">
      <c r="B10" s="42" t="s">
        <v>27</v>
      </c>
      <c r="C10" s="89">
        <f>'IS,BS,CF (12 MONTHS-1995)'!C10*(1+('IS,BS,CF (12 MONTHS-1995)'!C10-'IS,BS,CF (9 MONTHS-1994)'!C10)/'IS,BS,CF (9 MONTHS-1994)'!C10)</f>
        <v>129724.00932400933</v>
      </c>
      <c r="F10" s="94" t="s">
        <v>19</v>
      </c>
      <c r="G10" s="93">
        <f>'IS,BS,CF (12 MONTHS-1995)'!G10-((12000/6))</f>
        <v>6500</v>
      </c>
      <c r="J10" s="44" t="s">
        <v>54</v>
      </c>
      <c r="K10" s="45">
        <f>-C16</f>
        <v>-7200</v>
      </c>
    </row>
    <row r="11" spans="2:11">
      <c r="B11" s="42" t="s">
        <v>70</v>
      </c>
      <c r="C11" s="43">
        <f>1400*12</f>
        <v>16800</v>
      </c>
      <c r="F11" s="94" t="s">
        <v>12</v>
      </c>
      <c r="G11" s="93">
        <f>'IS,BS,CF (12 MONTHS-1995)'!G11-((1200/3))</f>
        <v>100</v>
      </c>
      <c r="J11" s="12" t="s">
        <v>55</v>
      </c>
      <c r="K11" s="84">
        <f>SUM(K4:K10)</f>
        <v>33911.94305694307</v>
      </c>
    </row>
    <row r="12" spans="2:11">
      <c r="B12" s="42" t="s">
        <v>28</v>
      </c>
      <c r="C12" s="43">
        <v>0</v>
      </c>
      <c r="F12" s="94" t="s">
        <v>13</v>
      </c>
      <c r="G12" s="93">
        <f>'IS,BS,CF (12 MONTHS-1995)'!G12-((2700/3))</f>
        <v>225</v>
      </c>
      <c r="J12" s="44"/>
      <c r="K12" s="45"/>
    </row>
    <row r="13" spans="2:11">
      <c r="B13" s="42" t="s">
        <v>29</v>
      </c>
      <c r="C13" s="43">
        <v>0</v>
      </c>
      <c r="F13" s="94" t="s">
        <v>14</v>
      </c>
      <c r="G13" s="93">
        <f>'IS,BS,CF (12 MONTHS-1995)'!G13-(68000/5)</f>
        <v>30600</v>
      </c>
      <c r="J13" s="44" t="s">
        <v>56</v>
      </c>
      <c r="K13" s="45">
        <v>0</v>
      </c>
    </row>
    <row r="14" spans="2:11">
      <c r="B14" s="42" t="s">
        <v>30</v>
      </c>
      <c r="C14" s="89">
        <f>SUM(C8:C13)</f>
        <v>171818.05694305693</v>
      </c>
      <c r="F14" s="37" t="s">
        <v>17</v>
      </c>
      <c r="G14" s="38">
        <f>SUM(G6:G13)</f>
        <v>147062</v>
      </c>
      <c r="J14" s="46" t="s">
        <v>62</v>
      </c>
      <c r="K14" s="47">
        <f>K13</f>
        <v>0</v>
      </c>
    </row>
    <row r="15" spans="2:11">
      <c r="B15" s="42" t="s">
        <v>31</v>
      </c>
      <c r="C15" s="89">
        <f>C6-C14</f>
        <v>81061.94305694307</v>
      </c>
      <c r="F15" s="94"/>
      <c r="G15" s="93"/>
      <c r="J15" s="44"/>
      <c r="K15" s="45"/>
    </row>
    <row r="16" spans="2:11">
      <c r="B16" s="42" t="s">
        <v>38</v>
      </c>
      <c r="C16" s="43">
        <f>(120000-12000-12000)*7.5%</f>
        <v>7200</v>
      </c>
      <c r="F16" s="95" t="s">
        <v>3</v>
      </c>
      <c r="G16" s="96"/>
      <c r="J16" s="44" t="s">
        <v>63</v>
      </c>
      <c r="K16" s="45">
        <v>0</v>
      </c>
    </row>
    <row r="17" spans="2:11">
      <c r="B17" s="42" t="str">
        <f>B15</f>
        <v>OPERATING PROFITS</v>
      </c>
      <c r="C17" s="89">
        <f>C15-C16</f>
        <v>73861.94305694307</v>
      </c>
      <c r="F17" s="92" t="s">
        <v>4</v>
      </c>
      <c r="G17" s="93"/>
      <c r="J17" s="44" t="s">
        <v>64</v>
      </c>
      <c r="K17" s="45">
        <v>-12000</v>
      </c>
    </row>
    <row r="18" spans="2:11">
      <c r="B18" s="42" t="s">
        <v>32</v>
      </c>
      <c r="C18" s="89">
        <f>C17*15%</f>
        <v>11079.29145854146</v>
      </c>
      <c r="F18" s="94" t="s">
        <v>7</v>
      </c>
      <c r="G18" s="93">
        <v>12000</v>
      </c>
      <c r="J18" s="44" t="s">
        <v>66</v>
      </c>
      <c r="K18" s="45">
        <f>10000-10000</f>
        <v>0</v>
      </c>
    </row>
    <row r="19" spans="2:11">
      <c r="B19" s="29" t="s">
        <v>33</v>
      </c>
      <c r="C19" s="79">
        <f>C15-C18</f>
        <v>69982.651598401615</v>
      </c>
      <c r="F19" s="94" t="s">
        <v>37</v>
      </c>
      <c r="G19" s="93">
        <v>0</v>
      </c>
      <c r="J19" s="12" t="s">
        <v>65</v>
      </c>
      <c r="K19" s="13">
        <f>SUM(K16:K18)</f>
        <v>-12000</v>
      </c>
    </row>
    <row r="20" spans="2:11">
      <c r="B20" s="42" t="s">
        <v>34</v>
      </c>
      <c r="C20" s="43">
        <v>40000</v>
      </c>
      <c r="F20" s="94" t="s">
        <v>39</v>
      </c>
      <c r="G20" s="97">
        <f>C18</f>
        <v>11079.29145854146</v>
      </c>
      <c r="J20" s="44"/>
      <c r="K20" s="45"/>
    </row>
    <row r="21" spans="2:11" ht="16.5" thickBot="1">
      <c r="B21" s="35" t="s">
        <v>35</v>
      </c>
      <c r="C21" s="80">
        <f>C19-C20</f>
        <v>29982.651598401615</v>
      </c>
      <c r="F21" s="94" t="s">
        <v>42</v>
      </c>
      <c r="G21" s="93">
        <v>0</v>
      </c>
      <c r="J21" s="44" t="s">
        <v>67</v>
      </c>
      <c r="K21" s="88">
        <f>K11+K14+K19</f>
        <v>21911.94305694307</v>
      </c>
    </row>
    <row r="22" spans="2:11">
      <c r="B22" s="24"/>
      <c r="C22" s="24"/>
      <c r="F22" s="94" t="s">
        <v>43</v>
      </c>
      <c r="G22" s="93">
        <v>0</v>
      </c>
      <c r="J22" s="44" t="s">
        <v>68</v>
      </c>
      <c r="K22" s="45">
        <f>143225</f>
        <v>143225</v>
      </c>
    </row>
    <row r="23" spans="2:11" ht="16.5" thickBot="1">
      <c r="B23" s="24"/>
      <c r="C23" s="24"/>
      <c r="F23" s="94" t="s">
        <v>44</v>
      </c>
      <c r="G23" s="93">
        <v>0</v>
      </c>
      <c r="J23" s="18" t="s">
        <v>69</v>
      </c>
      <c r="K23" s="85">
        <f>K21+K22</f>
        <v>165136.94305694307</v>
      </c>
    </row>
    <row r="24" spans="2:11">
      <c r="B24" s="24"/>
      <c r="C24" s="24"/>
      <c r="F24" s="92" t="s">
        <v>5</v>
      </c>
      <c r="G24" s="93"/>
    </row>
    <row r="25" spans="2:11">
      <c r="F25" s="94" t="s">
        <v>6</v>
      </c>
      <c r="G25" s="93">
        <f>120000-12000-12000-12000</f>
        <v>84000</v>
      </c>
    </row>
    <row r="26" spans="2:11">
      <c r="F26" s="37" t="s">
        <v>16</v>
      </c>
      <c r="G26" s="81">
        <f>SUM(G18:G25)</f>
        <v>107079.29145854147</v>
      </c>
    </row>
    <row r="27" spans="2:11">
      <c r="F27" s="94"/>
      <c r="G27" s="93"/>
    </row>
    <row r="28" spans="2:11">
      <c r="F28" s="95" t="s">
        <v>0</v>
      </c>
      <c r="G28" s="96"/>
    </row>
    <row r="29" spans="2:11">
      <c r="F29" s="94" t="s">
        <v>1</v>
      </c>
      <c r="G29" s="93">
        <v>10000</v>
      </c>
    </row>
    <row r="30" spans="2:11">
      <c r="F30" s="94" t="s">
        <v>35</v>
      </c>
      <c r="G30" s="97">
        <f>C21</f>
        <v>29982.651598401615</v>
      </c>
      <c r="I30" s="83"/>
    </row>
    <row r="31" spans="2:11">
      <c r="F31" s="94"/>
      <c r="G31" s="93"/>
    </row>
    <row r="32" spans="2:11" ht="16.5" thickBot="1">
      <c r="F32" s="39" t="s">
        <v>15</v>
      </c>
      <c r="G32" s="82">
        <f>G30+G29+G26</f>
        <v>147061.94305694307</v>
      </c>
    </row>
  </sheetData>
  <mergeCells count="3">
    <mergeCell ref="B3:C3"/>
    <mergeCell ref="F3:G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 BALANCE SHEET</vt:lpstr>
      <vt:lpstr>IS,BS,CF (9 MONTHS-1994)</vt:lpstr>
      <vt:lpstr>IS,BS,CF (12 MONTHS-1995)</vt:lpstr>
      <vt:lpstr>RATIOS</vt:lpstr>
      <vt:lpstr>PROFORMA FINANCIAL STATEMENTS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Colt Ables</dc:creator>
  <cp:lastModifiedBy>Aijaz</cp:lastModifiedBy>
  <dcterms:created xsi:type="dcterms:W3CDTF">2015-05-31T22:16:51Z</dcterms:created>
  <dcterms:modified xsi:type="dcterms:W3CDTF">2015-10-18T15:14:38Z</dcterms:modified>
</cp:coreProperties>
</file>