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Contents" sheetId="9" r:id="rId1"/>
    <sheet name="BS" sheetId="2" r:id="rId2"/>
    <sheet name="IS" sheetId="3" r:id="rId3"/>
    <sheet name="FSI" sheetId="1" r:id="rId4"/>
    <sheet name="FBS" sheetId="4" r:id="rId5"/>
    <sheet name="WACC(VID)" sheetId="6" r:id="rId6"/>
    <sheet name="MV(VID)" sheetId="5" r:id="rId7"/>
    <sheet name="MV(VID2)" sheetId="7" r:id="rId8"/>
    <sheet name="MV RODGERS" sheetId="8" r:id="rId9"/>
  </sheets>
  <calcPr calcId="152511"/>
</workbook>
</file>

<file path=xl/calcChain.xml><?xml version="1.0" encoding="utf-8"?>
<calcChain xmlns="http://schemas.openxmlformats.org/spreadsheetml/2006/main">
  <c r="B11" i="8" l="1"/>
  <c r="B9" i="8"/>
  <c r="B8" i="8"/>
  <c r="B30" i="8"/>
  <c r="B29" i="8"/>
  <c r="C17" i="8"/>
  <c r="C16" i="8"/>
  <c r="B32" i="8"/>
  <c r="B34" i="8" s="1"/>
  <c r="B23" i="8" s="1"/>
  <c r="B25" i="8" s="1"/>
  <c r="D16" i="8" s="1"/>
  <c r="E16" i="8" s="1"/>
  <c r="B18" i="8"/>
  <c r="B10" i="7"/>
  <c r="B12" i="7" s="1"/>
  <c r="E8" i="6"/>
  <c r="D8" i="6"/>
  <c r="B16" i="6"/>
  <c r="D7" i="6" s="1"/>
  <c r="E7" i="6" s="1"/>
  <c r="E9" i="6" s="1"/>
  <c r="B20" i="6"/>
  <c r="B18" i="6"/>
  <c r="B14" i="6"/>
  <c r="B32" i="6"/>
  <c r="B30" i="6"/>
  <c r="C8" i="6"/>
  <c r="C7" i="6"/>
  <c r="B9" i="6"/>
  <c r="C12" i="5"/>
  <c r="D12" i="5"/>
  <c r="E12" i="5"/>
  <c r="F12" i="5"/>
  <c r="B12" i="5"/>
  <c r="B20" i="4"/>
  <c r="D20" i="4"/>
  <c r="E20" i="4"/>
  <c r="F20" i="4"/>
  <c r="C20" i="4"/>
  <c r="C11" i="5"/>
  <c r="D11" i="5"/>
  <c r="E11" i="5"/>
  <c r="F11" i="5"/>
  <c r="B11" i="5"/>
  <c r="F10" i="5"/>
  <c r="C10" i="5"/>
  <c r="D10" i="5"/>
  <c r="E10" i="5"/>
  <c r="B10" i="5"/>
  <c r="C8" i="5"/>
  <c r="D8" i="5"/>
  <c r="E8" i="5"/>
  <c r="F8" i="5"/>
  <c r="B8" i="5"/>
  <c r="C7" i="5"/>
  <c r="D7" i="5"/>
  <c r="E7" i="5"/>
  <c r="F7" i="5"/>
  <c r="B7" i="5"/>
  <c r="D19" i="4"/>
  <c r="E19" i="4"/>
  <c r="F19" i="4"/>
  <c r="C19" i="4"/>
  <c r="B19" i="4"/>
  <c r="D18" i="4"/>
  <c r="E18" i="4"/>
  <c r="F18" i="4"/>
  <c r="C18" i="4"/>
  <c r="B18" i="4"/>
  <c r="D15" i="4"/>
  <c r="E15" i="4" s="1"/>
  <c r="F15" i="4" s="1"/>
  <c r="C15" i="4"/>
  <c r="B15" i="4"/>
  <c r="D14" i="4"/>
  <c r="E14" i="4" s="1"/>
  <c r="F14" i="4" s="1"/>
  <c r="C14" i="4"/>
  <c r="B14" i="4"/>
  <c r="D27" i="2"/>
  <c r="E27" i="2"/>
  <c r="F27" i="2"/>
  <c r="G27" i="2"/>
  <c r="C27" i="2"/>
  <c r="B13" i="4"/>
  <c r="C11" i="4"/>
  <c r="E11" i="4" s="1"/>
  <c r="B10" i="4"/>
  <c r="B12" i="4" s="1"/>
  <c r="C12" i="4" s="1"/>
  <c r="E8" i="1"/>
  <c r="F8" i="1"/>
  <c r="D8" i="1"/>
  <c r="C8" i="1"/>
  <c r="E11" i="1"/>
  <c r="F11" i="1"/>
  <c r="D11" i="1"/>
  <c r="C11" i="1"/>
  <c r="B12" i="1"/>
  <c r="B9" i="1"/>
  <c r="C8" i="4"/>
  <c r="F8" i="4" s="1"/>
  <c r="B7" i="4"/>
  <c r="B9" i="4" s="1"/>
  <c r="C9" i="4" s="1"/>
  <c r="B10" i="1"/>
  <c r="B7" i="1"/>
  <c r="B13" i="1" s="1"/>
  <c r="F9" i="5" l="1"/>
  <c r="D9" i="5"/>
  <c r="E17" i="8"/>
  <c r="E18" i="8" s="1"/>
  <c r="B9" i="5"/>
  <c r="B13" i="5" s="1"/>
  <c r="B15" i="5" s="1"/>
  <c r="E9" i="5"/>
  <c r="E13" i="5" s="1"/>
  <c r="E15" i="5" s="1"/>
  <c r="C9" i="5"/>
  <c r="C13" i="5" s="1"/>
  <c r="C15" i="5" s="1"/>
  <c r="F13" i="5"/>
  <c r="D13" i="5"/>
  <c r="D15" i="5" s="1"/>
  <c r="C16" i="5"/>
  <c r="E16" i="5"/>
  <c r="B16" i="5"/>
  <c r="D16" i="5"/>
  <c r="F16" i="5"/>
  <c r="D8" i="4"/>
  <c r="D9" i="4" s="1"/>
  <c r="F11" i="4"/>
  <c r="E8" i="4"/>
  <c r="D11" i="4"/>
  <c r="D12" i="4" s="1"/>
  <c r="E12" i="4" s="1"/>
  <c r="F12" i="4" s="1"/>
  <c r="C12" i="1"/>
  <c r="C9" i="1"/>
  <c r="F14" i="5" l="1"/>
  <c r="F15" i="5" s="1"/>
  <c r="B17" i="5" s="1"/>
  <c r="E9" i="4"/>
  <c r="F9" i="4" s="1"/>
  <c r="D12" i="1"/>
  <c r="E12" i="1" s="1"/>
  <c r="F12" i="1" s="1"/>
  <c r="C13" i="1"/>
  <c r="D9" i="1"/>
  <c r="B19" i="5" l="1"/>
  <c r="B22" i="5" s="1"/>
  <c r="D13" i="1"/>
  <c r="E9" i="1"/>
  <c r="E13" i="1" l="1"/>
  <c r="F9" i="1"/>
  <c r="F13" i="1" l="1"/>
</calcChain>
</file>

<file path=xl/sharedStrings.xml><?xml version="1.0" encoding="utf-8"?>
<sst xmlns="http://schemas.openxmlformats.org/spreadsheetml/2006/main" count="184" uniqueCount="113">
  <si>
    <t>Market Value Of VIDEOTRON Through DCF</t>
  </si>
  <si>
    <t>Assets</t>
  </si>
  <si>
    <t>Fixed assets</t>
  </si>
  <si>
    <t>Licenses and subscribers</t>
  </si>
  <si>
    <t>Deferred charges</t>
  </si>
  <si>
    <t>Investments</t>
  </si>
  <si>
    <t>Cash and short-term investments</t>
  </si>
  <si>
    <t>Assets from discontinued operations</t>
  </si>
  <si>
    <t>Accounts receivable</t>
  </si>
  <si>
    <t>Other</t>
  </si>
  <si>
    <t>Total Assets</t>
  </si>
  <si>
    <t>Liabilities</t>
  </si>
  <si>
    <t>Long-term and bank debt</t>
  </si>
  <si>
    <t>Accounts payable and accrued liabilities</t>
  </si>
  <si>
    <t>Liabilities from discontinued operations</t>
  </si>
  <si>
    <t>Deferred revenue and prepaid services</t>
  </si>
  <si>
    <t>Deferred income taxes</t>
  </si>
  <si>
    <t>Non-controlling interest in subsidiaries</t>
  </si>
  <si>
    <t>Shareholders' Equity</t>
  </si>
  <si>
    <t>Total Liabilities and Shareholders' Equity</t>
  </si>
  <si>
    <t>Balance Sheet</t>
  </si>
  <si>
    <t>REVENUE</t>
  </si>
  <si>
    <t>Cable TV and telecommunications</t>
  </si>
  <si>
    <t>N/A</t>
  </si>
  <si>
    <t>Broadcasting</t>
  </si>
  <si>
    <t>Other services</t>
  </si>
  <si>
    <t>Inter-segment items</t>
  </si>
  <si>
    <t>Total</t>
  </si>
  <si>
    <t>EBITDA</t>
  </si>
  <si>
    <t>Sub-total</t>
  </si>
  <si>
    <t>-</t>
  </si>
  <si>
    <t>Statement of Income</t>
  </si>
  <si>
    <t>Operating revenue</t>
  </si>
  <si>
    <t>Direct costs</t>
  </si>
  <si>
    <t>Operating and administrative expenses</t>
  </si>
  <si>
    <t>Depreciation and amortization</t>
  </si>
  <si>
    <t>Financial expenses</t>
  </si>
  <si>
    <t>Other expense items</t>
  </si>
  <si>
    <t>Income taxes</t>
  </si>
  <si>
    <t>Share in the results of affiliated companies</t>
  </si>
  <si>
    <t>Income (loss) before extraordinary item</t>
  </si>
  <si>
    <t>Extraordinary item</t>
  </si>
  <si>
    <t>Discontinued operations</t>
  </si>
  <si>
    <t>Net income (Loss)*</t>
  </si>
  <si>
    <t>Current ratio</t>
  </si>
  <si>
    <t>Quick ratio</t>
  </si>
  <si>
    <t>Calendar close stock price</t>
  </si>
  <si>
    <t>Earnings (loss) per share</t>
  </si>
  <si>
    <t>NOPAT</t>
  </si>
  <si>
    <t>Income Tax</t>
  </si>
  <si>
    <t>EBIDTA</t>
  </si>
  <si>
    <t>Growth Rate</t>
  </si>
  <si>
    <t>Forecasted EBIDTA</t>
  </si>
  <si>
    <t>Forecasted Income Statement(working for DCF)</t>
  </si>
  <si>
    <t>Forecasted Income Tax</t>
  </si>
  <si>
    <t>Forecasted Balance Sheet (Working For DCF)</t>
  </si>
  <si>
    <t>Net fixed Asset</t>
  </si>
  <si>
    <t>Forecasted Net Fixed Assets</t>
  </si>
  <si>
    <t>Working Capital</t>
  </si>
  <si>
    <t>Changes In Net fixed Assets</t>
  </si>
  <si>
    <t>Changes In Working Capital</t>
  </si>
  <si>
    <t>Net Intangible Assets</t>
  </si>
  <si>
    <t>Forecasted Net Intangible Assets</t>
  </si>
  <si>
    <t>Changes In Intangible Assets</t>
  </si>
  <si>
    <t>Changes In Intagible Assets</t>
  </si>
  <si>
    <t>Forecasted Working Capital</t>
  </si>
  <si>
    <t>Free Cash Flows</t>
  </si>
  <si>
    <t>Terminal Value</t>
  </si>
  <si>
    <t>WACC</t>
  </si>
  <si>
    <t>DISCOUNT RATE</t>
  </si>
  <si>
    <t>Equity</t>
  </si>
  <si>
    <t>Market Value</t>
  </si>
  <si>
    <t>Weightage</t>
  </si>
  <si>
    <t>Debt</t>
  </si>
  <si>
    <t>Cost</t>
  </si>
  <si>
    <t>Cost Of Equity</t>
  </si>
  <si>
    <t>Beta</t>
  </si>
  <si>
    <t>Cost Of Debt</t>
  </si>
  <si>
    <t>Interes Expense</t>
  </si>
  <si>
    <t>Proxy Beta(Shaw Communications)</t>
  </si>
  <si>
    <t>Asset Beta</t>
  </si>
  <si>
    <t>Tax Rate (assumption)</t>
  </si>
  <si>
    <t>Equity Beta</t>
  </si>
  <si>
    <t>Market Rate(assumption)</t>
  </si>
  <si>
    <t>Risk Free Rate(assumption)</t>
  </si>
  <si>
    <t>Net Free Cash Flows</t>
  </si>
  <si>
    <t>NPV (Enterprise Value)</t>
  </si>
  <si>
    <t>less: Debt</t>
  </si>
  <si>
    <t>Value OF EQUITY</t>
  </si>
  <si>
    <t>Market Value Through Comparable Companies</t>
  </si>
  <si>
    <t>Proxy Company (Shaw Communication)</t>
  </si>
  <si>
    <t>Market Value Using Proxy Company Ratio</t>
  </si>
  <si>
    <t>Per Share Value</t>
  </si>
  <si>
    <t>EV/EBIDTA</t>
  </si>
  <si>
    <t>EBITDTA</t>
  </si>
  <si>
    <t>M.V using Proxy Ratio</t>
  </si>
  <si>
    <t>No. Of Shares</t>
  </si>
  <si>
    <t>Per Share Price</t>
  </si>
  <si>
    <t>MV OF RODGERS USING DCF</t>
  </si>
  <si>
    <t>No. Of Share</t>
  </si>
  <si>
    <t>Debt (assume)</t>
  </si>
  <si>
    <t>ENTERPRISE VALUE</t>
  </si>
  <si>
    <t>INCOME STATEMENT</t>
  </si>
  <si>
    <t>WORKING CAPITAL</t>
  </si>
  <si>
    <t>TABLE OF CONTENTS</t>
  </si>
  <si>
    <t>BALANCE SHEET</t>
  </si>
  <si>
    <t>FORECASTED I/S</t>
  </si>
  <si>
    <t>FORECASTED B/S</t>
  </si>
  <si>
    <t>WACC(VIDEOTRON)</t>
  </si>
  <si>
    <t>DCF VALUE OF VIDEOTRON</t>
  </si>
  <si>
    <t>VALUE OF VIDEOTRON THROUGH COMPARABLE</t>
  </si>
  <si>
    <t>VALUE OF ROGDERS THROUGH DCF</t>
  </si>
  <si>
    <t>BACK TO THE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</si>
</sst>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12"/>
      <color theme="1"/>
      <name val="Times New Roman"/>
      <family val="1"/>
    </font>
    <font>
      <sz val="9.5"/>
      <color theme="1"/>
      <name val="Arial"/>
      <family val="2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u/>
      <sz val="9.5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Times New Roman"/>
      <family val="1"/>
    </font>
    <font>
      <u/>
      <sz val="8.5"/>
      <color theme="1"/>
      <name val="Arial"/>
      <family val="2"/>
    </font>
    <font>
      <b/>
      <u/>
      <sz val="8.5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0" fillId="0" borderId="0" xfId="0" applyNumberForma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2" xfId="0" applyBorder="1"/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0" fillId="0" borderId="1" xfId="0" applyBorder="1"/>
    <xf numFmtId="0" fontId="12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12" fillId="0" borderId="2" xfId="0" applyNumberFormat="1" applyFont="1" applyBorder="1" applyAlignment="1">
      <alignment vertical="center" wrapText="1"/>
    </xf>
    <xf numFmtId="0" fontId="12" fillId="0" borderId="0" xfId="0" applyFont="1" applyAlignment="1">
      <alignment horizontal="right" wrapText="1"/>
    </xf>
    <xf numFmtId="0" fontId="2" fillId="0" borderId="0" xfId="0" applyFont="1"/>
    <xf numFmtId="9" fontId="0" fillId="0" borderId="0" xfId="0" applyNumberFormat="1"/>
    <xf numFmtId="2" fontId="0" fillId="0" borderId="0" xfId="0" applyNumberFormat="1"/>
    <xf numFmtId="44" fontId="0" fillId="0" borderId="0" xfId="2" applyFont="1"/>
    <xf numFmtId="44" fontId="0" fillId="0" borderId="3" xfId="2" applyFont="1" applyBorder="1"/>
    <xf numFmtId="0" fontId="4" fillId="2" borderId="0" xfId="0" applyFont="1" applyFill="1"/>
    <xf numFmtId="44" fontId="0" fillId="0" borderId="0" xfId="0" applyNumberFormat="1"/>
    <xf numFmtId="0" fontId="6" fillId="0" borderId="0" xfId="0" applyFont="1" applyAlignment="1">
      <alignment horizontal="center" vertical="center" wrapText="1"/>
    </xf>
    <xf numFmtId="0" fontId="2" fillId="3" borderId="0" xfId="0" applyFont="1" applyFill="1"/>
    <xf numFmtId="164" fontId="0" fillId="0" borderId="0" xfId="0" applyNumberFormat="1"/>
    <xf numFmtId="44" fontId="0" fillId="0" borderId="2" xfId="0" applyNumberFormat="1" applyBorder="1"/>
    <xf numFmtId="9" fontId="0" fillId="0" borderId="2" xfId="0" applyNumberFormat="1" applyBorder="1"/>
    <xf numFmtId="8" fontId="2" fillId="0" borderId="4" xfId="0" applyNumberFormat="1" applyFont="1" applyBorder="1"/>
    <xf numFmtId="8" fontId="2" fillId="0" borderId="0" xfId="0" applyNumberFormat="1" applyFont="1" applyBorder="1"/>
    <xf numFmtId="165" fontId="0" fillId="0" borderId="0" xfId="1" applyNumberFormat="1" applyFont="1"/>
    <xf numFmtId="9" fontId="0" fillId="0" borderId="0" xfId="0" applyNumberFormat="1" applyBorder="1"/>
    <xf numFmtId="0" fontId="0" fillId="0" borderId="0" xfId="0" applyAlignment="1">
      <alignment horizontal="left" indent="2"/>
    </xf>
    <xf numFmtId="8" fontId="2" fillId="0" borderId="0" xfId="0" applyNumberFormat="1" applyFont="1"/>
    <xf numFmtId="0" fontId="4" fillId="3" borderId="0" xfId="0" applyFont="1" applyFill="1"/>
    <xf numFmtId="0" fontId="2" fillId="0" borderId="5" xfId="0" applyFont="1" applyBorder="1"/>
    <xf numFmtId="0" fontId="0" fillId="0" borderId="5" xfId="0" applyBorder="1"/>
    <xf numFmtId="0" fontId="2" fillId="0" borderId="0" xfId="0" applyFont="1" applyBorder="1"/>
    <xf numFmtId="44" fontId="0" fillId="0" borderId="0" xfId="2" applyFont="1" applyBorder="1"/>
    <xf numFmtId="0" fontId="0" fillId="0" borderId="0" xfId="0" applyBorder="1"/>
    <xf numFmtId="0" fontId="2" fillId="0" borderId="4" xfId="0" applyFont="1" applyBorder="1"/>
    <xf numFmtId="44" fontId="2" fillId="0" borderId="4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0" fillId="0" borderId="9" xfId="0" applyNumberFormat="1" applyBorder="1"/>
    <xf numFmtId="2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9" fontId="0" fillId="0" borderId="7" xfId="0" applyNumberFormat="1" applyBorder="1"/>
    <xf numFmtId="164" fontId="0" fillId="0" borderId="9" xfId="0" applyNumberFormat="1" applyBorder="1"/>
    <xf numFmtId="10" fontId="0" fillId="0" borderId="9" xfId="0" applyNumberFormat="1" applyBorder="1"/>
    <xf numFmtId="10" fontId="2" fillId="0" borderId="11" xfId="0" applyNumberFormat="1" applyFont="1" applyBorder="1"/>
    <xf numFmtId="10" fontId="0" fillId="0" borderId="11" xfId="0" applyNumberFormat="1" applyBorder="1"/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9" fontId="0" fillId="0" borderId="0" xfId="3" applyFont="1" applyBorder="1"/>
    <xf numFmtId="10" fontId="0" fillId="0" borderId="0" xfId="0" applyNumberFormat="1" applyBorder="1"/>
    <xf numFmtId="9" fontId="0" fillId="0" borderId="9" xfId="3" applyFont="1" applyBorder="1"/>
    <xf numFmtId="0" fontId="2" fillId="0" borderId="2" xfId="0" applyFont="1" applyBorder="1"/>
    <xf numFmtId="9" fontId="2" fillId="0" borderId="11" xfId="0" applyNumberFormat="1" applyFont="1" applyBorder="1"/>
    <xf numFmtId="0" fontId="3" fillId="0" borderId="6" xfId="0" applyFont="1" applyBorder="1"/>
    <xf numFmtId="0" fontId="0" fillId="0" borderId="11" xfId="0" applyBorder="1"/>
    <xf numFmtId="44" fontId="0" fillId="0" borderId="7" xfId="2" applyFont="1" applyBorder="1"/>
    <xf numFmtId="44" fontId="0" fillId="0" borderId="9" xfId="2" applyFont="1" applyBorder="1"/>
    <xf numFmtId="0" fontId="2" fillId="0" borderId="10" xfId="0" applyFont="1" applyBorder="1"/>
    <xf numFmtId="44" fontId="2" fillId="0" borderId="11" xfId="2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3" fontId="0" fillId="0" borderId="9" xfId="0" applyNumberFormat="1" applyBorder="1"/>
    <xf numFmtId="9" fontId="2" fillId="0" borderId="11" xfId="3" applyFont="1" applyBorder="1"/>
    <xf numFmtId="0" fontId="4" fillId="3" borderId="6" xfId="0" applyFont="1" applyFill="1" applyBorder="1"/>
    <xf numFmtId="0" fontId="4" fillId="2" borderId="1" xfId="0" applyFont="1" applyFill="1" applyBorder="1"/>
    <xf numFmtId="0" fontId="4" fillId="2" borderId="7" xfId="0" applyFont="1" applyFill="1" applyBorder="1"/>
    <xf numFmtId="3" fontId="0" fillId="0" borderId="0" xfId="0" applyNumberFormat="1" applyBorder="1"/>
    <xf numFmtId="0" fontId="2" fillId="0" borderId="8" xfId="0" applyFont="1" applyBorder="1"/>
    <xf numFmtId="44" fontId="0" fillId="0" borderId="0" xfId="0" applyNumberFormat="1" applyBorder="1"/>
    <xf numFmtId="44" fontId="0" fillId="0" borderId="2" xfId="2" applyFont="1" applyBorder="1"/>
    <xf numFmtId="44" fontId="0" fillId="0" borderId="11" xfId="2" applyFont="1" applyBorder="1"/>
    <xf numFmtId="0" fontId="2" fillId="0" borderId="6" xfId="0" applyFont="1" applyBorder="1"/>
    <xf numFmtId="3" fontId="0" fillId="0" borderId="1" xfId="0" applyNumberFormat="1" applyBorder="1"/>
    <xf numFmtId="44" fontId="0" fillId="0" borderId="1" xfId="0" applyNumberFormat="1" applyBorder="1"/>
    <xf numFmtId="44" fontId="0" fillId="0" borderId="7" xfId="0" applyNumberFormat="1" applyBorder="1"/>
    <xf numFmtId="44" fontId="0" fillId="0" borderId="9" xfId="0" applyNumberFormat="1" applyBorder="1"/>
    <xf numFmtId="3" fontId="0" fillId="0" borderId="2" xfId="0" applyNumberFormat="1" applyBorder="1"/>
    <xf numFmtId="44" fontId="0" fillId="0" borderId="11" xfId="0" applyNumberFormat="1" applyBorder="1"/>
    <xf numFmtId="0" fontId="0" fillId="0" borderId="8" xfId="0" applyFont="1" applyBorder="1"/>
    <xf numFmtId="9" fontId="0" fillId="0" borderId="0" xfId="0" applyNumberFormat="1" applyFont="1" applyBorder="1"/>
    <xf numFmtId="44" fontId="0" fillId="0" borderId="15" xfId="2" applyFont="1" applyBorder="1"/>
    <xf numFmtId="0" fontId="7" fillId="0" borderId="6" xfId="0" applyFont="1" applyBorder="1" applyAlignment="1">
      <alignment horizontal="left" vertical="center" wrapText="1" inden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 inden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 indent="1"/>
    </xf>
    <xf numFmtId="0" fontId="0" fillId="0" borderId="4" xfId="0" applyBorder="1"/>
    <xf numFmtId="3" fontId="7" fillId="0" borderId="4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1"/>
    </xf>
    <xf numFmtId="0" fontId="11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16" fillId="0" borderId="9" xfId="4" applyBorder="1"/>
    <xf numFmtId="0" fontId="16" fillId="0" borderId="11" xfId="4" applyBorder="1"/>
    <xf numFmtId="0" fontId="2" fillId="0" borderId="16" xfId="0" applyFont="1" applyBorder="1"/>
    <xf numFmtId="0" fontId="2" fillId="0" borderId="17" xfId="0" applyFont="1" applyBorder="1"/>
    <xf numFmtId="0" fontId="0" fillId="3" borderId="14" xfId="0" applyFill="1" applyBorder="1"/>
    <xf numFmtId="0" fontId="4" fillId="3" borderId="12" xfId="0" applyFont="1" applyFill="1" applyBorder="1"/>
    <xf numFmtId="0" fontId="16" fillId="4" borderId="0" xfId="4" applyFill="1"/>
    <xf numFmtId="3" fontId="7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tabSelected="1" workbookViewId="0">
      <pane ySplit="1" topLeftCell="A2" activePane="bottomLeft" state="frozen"/>
      <selection pane="bottomLeft" activeCell="E7" sqref="E7"/>
    </sheetView>
  </sheetViews>
  <sheetFormatPr defaultRowHeight="15" x14ac:dyDescent="0.25"/>
  <cols>
    <col min="1" max="1" width="6.85546875" customWidth="1"/>
    <col min="2" max="2" width="43.42578125" bestFit="1" customWidth="1"/>
  </cols>
  <sheetData>
    <row r="3" spans="1:2" ht="15.75" thickBot="1" x14ac:dyDescent="0.3"/>
    <row r="4" spans="1:2" ht="15.75" thickBot="1" x14ac:dyDescent="0.3">
      <c r="A4" s="125" t="s">
        <v>104</v>
      </c>
      <c r="B4" s="124"/>
    </row>
    <row r="5" spans="1:2" x14ac:dyDescent="0.25">
      <c r="A5" s="122">
        <v>1</v>
      </c>
      <c r="B5" s="120" t="s">
        <v>105</v>
      </c>
    </row>
    <row r="6" spans="1:2" x14ac:dyDescent="0.25">
      <c r="A6" s="122">
        <v>2</v>
      </c>
      <c r="B6" s="120" t="s">
        <v>102</v>
      </c>
    </row>
    <row r="7" spans="1:2" x14ac:dyDescent="0.25">
      <c r="A7" s="122">
        <v>3</v>
      </c>
      <c r="B7" s="120" t="s">
        <v>106</v>
      </c>
    </row>
    <row r="8" spans="1:2" x14ac:dyDescent="0.25">
      <c r="A8" s="122">
        <v>4</v>
      </c>
      <c r="B8" s="120" t="s">
        <v>107</v>
      </c>
    </row>
    <row r="9" spans="1:2" x14ac:dyDescent="0.25">
      <c r="A9" s="122">
        <v>5</v>
      </c>
      <c r="B9" s="120" t="s">
        <v>108</v>
      </c>
    </row>
    <row r="10" spans="1:2" x14ac:dyDescent="0.25">
      <c r="A10" s="122">
        <v>6</v>
      </c>
      <c r="B10" s="120" t="s">
        <v>109</v>
      </c>
    </row>
    <row r="11" spans="1:2" x14ac:dyDescent="0.25">
      <c r="A11" s="122">
        <v>7</v>
      </c>
      <c r="B11" s="120" t="s">
        <v>110</v>
      </c>
    </row>
    <row r="12" spans="1:2" ht="15.75" thickBot="1" x14ac:dyDescent="0.3">
      <c r="A12" s="123">
        <v>8</v>
      </c>
      <c r="B12" s="121" t="s">
        <v>111</v>
      </c>
    </row>
  </sheetData>
  <hyperlinks>
    <hyperlink ref="B5" location="BS!A1" display="BALANCE SHEET"/>
    <hyperlink ref="B6" location="IS!A1" display="INCOME STATEMENT"/>
    <hyperlink ref="B7" location="FSI!A1" display="FORECASTED I/S"/>
    <hyperlink ref="B8" location="FBS!A1" display="FORECASTED B/S"/>
    <hyperlink ref="B9" location="'WACC(VID)'!A1" display="WACC(VIDEOTRON)"/>
    <hyperlink ref="B10" location="'MV(VID)'!A1" display="DCF VALUE OF VIDEOTRON"/>
    <hyperlink ref="B11" location="'MV(VID2)'!A1" display="VALUE OF VIDEOTRON THROUGH COMPARABLE"/>
    <hyperlink ref="B12" location="'MV RODGERS'!A1" display="VALUE OF ROGDERS THROUGH DC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1" topLeftCell="A14" activePane="bottomLeft" state="frozen"/>
      <selection pane="bottomLeft"/>
    </sheetView>
  </sheetViews>
  <sheetFormatPr defaultRowHeight="15" x14ac:dyDescent="0.25"/>
  <cols>
    <col min="1" max="1" width="23" customWidth="1"/>
  </cols>
  <sheetData>
    <row r="1" spans="1:8" x14ac:dyDescent="0.25">
      <c r="A1" s="126" t="s">
        <v>112</v>
      </c>
    </row>
    <row r="3" spans="1:8" x14ac:dyDescent="0.25">
      <c r="A3" s="44" t="s">
        <v>20</v>
      </c>
    </row>
    <row r="4" spans="1:8" ht="16.5" thickBot="1" x14ac:dyDescent="0.3">
      <c r="C4" s="119">
        <v>1999</v>
      </c>
      <c r="D4" s="119">
        <v>1998</v>
      </c>
      <c r="E4" s="119">
        <v>1997</v>
      </c>
      <c r="F4" s="119">
        <v>1996</v>
      </c>
      <c r="G4" s="119">
        <v>1995</v>
      </c>
      <c r="H4" s="3"/>
    </row>
    <row r="5" spans="1:8" ht="16.5" thickBot="1" x14ac:dyDescent="0.3">
      <c r="A5" s="2" t="s">
        <v>1</v>
      </c>
      <c r="B5" s="3"/>
      <c r="C5" s="4"/>
      <c r="D5" s="4"/>
      <c r="E5" s="4"/>
      <c r="F5" s="4"/>
      <c r="G5" s="4"/>
      <c r="H5" s="3"/>
    </row>
    <row r="6" spans="1:8" x14ac:dyDescent="0.25">
      <c r="A6" s="102" t="s">
        <v>2</v>
      </c>
      <c r="B6" s="127">
        <v>1164002</v>
      </c>
      <c r="C6" s="127"/>
      <c r="D6" s="103">
        <v>1419512</v>
      </c>
      <c r="E6" s="103">
        <v>1194411</v>
      </c>
      <c r="F6" s="103">
        <v>1959225</v>
      </c>
      <c r="G6" s="104">
        <v>1542831</v>
      </c>
      <c r="H6" s="6"/>
    </row>
    <row r="7" spans="1:8" ht="25.5" x14ac:dyDescent="0.25">
      <c r="A7" s="105" t="s">
        <v>3</v>
      </c>
      <c r="B7" s="49"/>
      <c r="C7" s="106">
        <v>626590</v>
      </c>
      <c r="D7" s="107">
        <v>970318</v>
      </c>
      <c r="E7" s="107">
        <v>792245</v>
      </c>
      <c r="F7" s="107">
        <v>438761</v>
      </c>
      <c r="G7" s="108">
        <v>410163</v>
      </c>
      <c r="H7" s="6"/>
    </row>
    <row r="8" spans="1:8" x14ac:dyDescent="0.25">
      <c r="A8" s="105" t="s">
        <v>4</v>
      </c>
      <c r="B8" s="128">
        <v>109445</v>
      </c>
      <c r="C8" s="128"/>
      <c r="D8" s="107">
        <v>118545</v>
      </c>
      <c r="E8" s="107">
        <v>165047</v>
      </c>
      <c r="F8" s="107">
        <v>157869</v>
      </c>
      <c r="G8" s="108">
        <v>136840</v>
      </c>
      <c r="H8" s="6"/>
    </row>
    <row r="9" spans="1:8" x14ac:dyDescent="0.25">
      <c r="A9" s="105" t="s">
        <v>5</v>
      </c>
      <c r="B9" s="128">
        <v>26648</v>
      </c>
      <c r="C9" s="128"/>
      <c r="D9" s="107">
        <v>53739</v>
      </c>
      <c r="E9" s="107">
        <v>165820</v>
      </c>
      <c r="F9" s="107">
        <v>399868</v>
      </c>
      <c r="G9" s="108">
        <v>77765</v>
      </c>
      <c r="H9" s="6"/>
    </row>
    <row r="10" spans="1:8" ht="25.5" x14ac:dyDescent="0.25">
      <c r="A10" s="105" t="s">
        <v>6</v>
      </c>
      <c r="B10" s="49"/>
      <c r="C10" s="106">
        <v>18014</v>
      </c>
      <c r="D10" s="107">
        <v>455544</v>
      </c>
      <c r="E10" s="107">
        <v>367187</v>
      </c>
      <c r="F10" s="107">
        <v>77054</v>
      </c>
      <c r="G10" s="108">
        <v>166840</v>
      </c>
      <c r="H10" s="6"/>
    </row>
    <row r="11" spans="1:8" ht="38.25" x14ac:dyDescent="0.25">
      <c r="A11" s="105" t="s">
        <v>7</v>
      </c>
      <c r="B11" s="49"/>
      <c r="C11" s="106">
        <v>828196</v>
      </c>
      <c r="D11" s="109"/>
      <c r="E11" s="109"/>
      <c r="F11" s="109"/>
      <c r="G11" s="110"/>
      <c r="H11" s="6"/>
    </row>
    <row r="12" spans="1:8" x14ac:dyDescent="0.25">
      <c r="A12" s="105" t="s">
        <v>8</v>
      </c>
      <c r="B12" s="49"/>
      <c r="C12" s="106">
        <v>211066</v>
      </c>
      <c r="D12" s="107">
        <v>194107</v>
      </c>
      <c r="E12" s="107">
        <v>156208</v>
      </c>
      <c r="F12" s="107">
        <v>136408</v>
      </c>
      <c r="G12" s="108">
        <v>95384</v>
      </c>
      <c r="H12" s="6"/>
    </row>
    <row r="13" spans="1:8" x14ac:dyDescent="0.25">
      <c r="A13" s="105" t="s">
        <v>9</v>
      </c>
      <c r="B13" s="49"/>
      <c r="C13" s="106">
        <v>76427</v>
      </c>
      <c r="D13" s="107">
        <v>97946</v>
      </c>
      <c r="E13" s="107">
        <v>87928</v>
      </c>
      <c r="F13" s="107">
        <v>83123</v>
      </c>
      <c r="G13" s="108">
        <v>66230</v>
      </c>
      <c r="H13" s="7"/>
    </row>
    <row r="14" spans="1:8" ht="16.5" thickBot="1" x14ac:dyDescent="0.3">
      <c r="A14" s="113" t="s">
        <v>10</v>
      </c>
      <c r="B14" s="114"/>
      <c r="C14" s="115">
        <v>3060388</v>
      </c>
      <c r="D14" s="116">
        <v>3309711</v>
      </c>
      <c r="E14" s="116">
        <v>2928846</v>
      </c>
      <c r="F14" s="116">
        <v>3252308</v>
      </c>
      <c r="G14" s="116">
        <v>2514451</v>
      </c>
      <c r="H14" s="3"/>
    </row>
    <row r="15" spans="1:8" ht="17.25" thickTop="1" thickBot="1" x14ac:dyDescent="0.3">
      <c r="A15" s="2" t="s">
        <v>11</v>
      </c>
      <c r="B15" s="33"/>
      <c r="C15" s="3"/>
      <c r="D15" s="3"/>
      <c r="E15" s="3"/>
      <c r="F15" s="3"/>
      <c r="G15" s="3"/>
      <c r="H15" s="3"/>
    </row>
    <row r="16" spans="1:8" ht="25.5" x14ac:dyDescent="0.25">
      <c r="A16" s="102" t="s">
        <v>12</v>
      </c>
      <c r="B16" s="15"/>
      <c r="C16" s="111">
        <v>969820</v>
      </c>
      <c r="D16" s="103">
        <v>1803795</v>
      </c>
      <c r="E16" s="103">
        <v>1544100</v>
      </c>
      <c r="F16" s="103">
        <v>1976659</v>
      </c>
      <c r="G16" s="104">
        <v>1313827</v>
      </c>
      <c r="H16" s="6"/>
    </row>
    <row r="17" spans="1:8" ht="25.5" x14ac:dyDescent="0.25">
      <c r="A17" s="105" t="s">
        <v>13</v>
      </c>
      <c r="B17" s="49"/>
      <c r="C17" s="106">
        <v>291803</v>
      </c>
      <c r="D17" s="107">
        <v>308402</v>
      </c>
      <c r="E17" s="107">
        <v>285646</v>
      </c>
      <c r="F17" s="107">
        <v>250397</v>
      </c>
      <c r="G17" s="108">
        <v>240574</v>
      </c>
      <c r="H17" s="6"/>
    </row>
    <row r="18" spans="1:8" ht="38.25" x14ac:dyDescent="0.25">
      <c r="A18" s="105" t="s">
        <v>14</v>
      </c>
      <c r="B18" s="49"/>
      <c r="C18" s="106">
        <v>828196</v>
      </c>
      <c r="D18" s="109"/>
      <c r="E18" s="109"/>
      <c r="F18" s="109"/>
      <c r="G18" s="110"/>
      <c r="H18" s="6"/>
    </row>
    <row r="19" spans="1:8" ht="25.5" x14ac:dyDescent="0.25">
      <c r="A19" s="105" t="s">
        <v>15</v>
      </c>
      <c r="B19" s="49"/>
      <c r="C19" s="106">
        <v>90022</v>
      </c>
      <c r="D19" s="107">
        <v>96538</v>
      </c>
      <c r="E19" s="107">
        <v>91338</v>
      </c>
      <c r="F19" s="107">
        <v>81120</v>
      </c>
      <c r="G19" s="108">
        <v>74012</v>
      </c>
      <c r="H19" s="6"/>
    </row>
    <row r="20" spans="1:8" x14ac:dyDescent="0.25">
      <c r="A20" s="105" t="s">
        <v>16</v>
      </c>
      <c r="B20" s="49"/>
      <c r="C20" s="106">
        <v>289335</v>
      </c>
      <c r="D20" s="107">
        <v>319853</v>
      </c>
      <c r="E20" s="107">
        <v>295579</v>
      </c>
      <c r="F20" s="107">
        <v>125741</v>
      </c>
      <c r="G20" s="108">
        <v>106601</v>
      </c>
      <c r="H20" s="6"/>
    </row>
    <row r="21" spans="1:8" ht="25.5" x14ac:dyDescent="0.25">
      <c r="A21" s="105" t="s">
        <v>17</v>
      </c>
      <c r="B21" s="49"/>
      <c r="C21" s="106">
        <v>99627</v>
      </c>
      <c r="D21" s="107">
        <v>176272</v>
      </c>
      <c r="E21" s="107">
        <v>74453</v>
      </c>
      <c r="F21" s="107">
        <v>271353</v>
      </c>
      <c r="G21" s="108">
        <v>279957</v>
      </c>
      <c r="H21" s="6"/>
    </row>
    <row r="22" spans="1:8" x14ac:dyDescent="0.25">
      <c r="A22" s="112"/>
      <c r="B22" s="49"/>
      <c r="C22" s="106">
        <v>2569403</v>
      </c>
      <c r="D22" s="107">
        <v>2704860</v>
      </c>
      <c r="E22" s="107">
        <v>2291116</v>
      </c>
      <c r="F22" s="107">
        <v>2705270</v>
      </c>
      <c r="G22" s="108">
        <v>2018228</v>
      </c>
      <c r="H22" s="7"/>
    </row>
    <row r="23" spans="1:8" ht="15.75" x14ac:dyDescent="0.25">
      <c r="A23" s="117" t="s">
        <v>18</v>
      </c>
      <c r="B23" s="49"/>
      <c r="C23" s="106">
        <v>490403</v>
      </c>
      <c r="D23" s="107">
        <v>604851</v>
      </c>
      <c r="E23" s="107">
        <v>637730</v>
      </c>
      <c r="F23" s="107">
        <v>547038</v>
      </c>
      <c r="G23" s="108">
        <v>496223</v>
      </c>
      <c r="H23" s="3"/>
    </row>
    <row r="24" spans="1:8" ht="26.25" thickBot="1" x14ac:dyDescent="0.3">
      <c r="A24" s="113" t="s">
        <v>19</v>
      </c>
      <c r="B24" s="114"/>
      <c r="C24" s="115">
        <v>3060388</v>
      </c>
      <c r="D24" s="116">
        <v>3309711</v>
      </c>
      <c r="E24" s="116">
        <v>2928846</v>
      </c>
      <c r="F24" s="116">
        <v>3252308</v>
      </c>
      <c r="G24" s="116">
        <v>2514451</v>
      </c>
      <c r="H24" s="3"/>
    </row>
    <row r="25" spans="1:8" ht="15.75" thickTop="1" x14ac:dyDescent="0.25"/>
    <row r="27" spans="1:8" x14ac:dyDescent="0.25">
      <c r="A27" s="26" t="s">
        <v>103</v>
      </c>
      <c r="C27" s="5">
        <f>SUM(C10,C12,C13)-C17</f>
        <v>13704</v>
      </c>
      <c r="D27" s="5">
        <f t="shared" ref="D27:G27" si="0">SUM(D10,D12,D13)-D17</f>
        <v>439195</v>
      </c>
      <c r="E27" s="5">
        <f t="shared" si="0"/>
        <v>325677</v>
      </c>
      <c r="F27" s="5">
        <f t="shared" si="0"/>
        <v>46188</v>
      </c>
      <c r="G27" s="5">
        <f t="shared" si="0"/>
        <v>87880</v>
      </c>
    </row>
  </sheetData>
  <mergeCells count="3">
    <mergeCell ref="B6:C6"/>
    <mergeCell ref="B8:C8"/>
    <mergeCell ref="B9:C9"/>
  </mergeCells>
  <hyperlinks>
    <hyperlink ref="A1" location="Contents!A1" display="BACK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pane ySplit="1" topLeftCell="A14" activePane="bottomLeft" state="frozen"/>
      <selection pane="bottomLeft"/>
    </sheetView>
  </sheetViews>
  <sheetFormatPr defaultRowHeight="15" x14ac:dyDescent="0.25"/>
  <cols>
    <col min="1" max="1" width="18.85546875" customWidth="1"/>
  </cols>
  <sheetData>
    <row r="1" spans="1:11" x14ac:dyDescent="0.25">
      <c r="A1" s="126" t="s">
        <v>112</v>
      </c>
    </row>
    <row r="4" spans="1:11" x14ac:dyDescent="0.25">
      <c r="A4" s="44" t="s">
        <v>102</v>
      </c>
    </row>
    <row r="5" spans="1:11" ht="15.75" thickBot="1" x14ac:dyDescent="0.3">
      <c r="C5" s="118">
        <v>1999</v>
      </c>
      <c r="D5" s="118"/>
      <c r="E5" s="118">
        <v>1998</v>
      </c>
      <c r="F5" s="118"/>
      <c r="G5" s="118">
        <v>1997</v>
      </c>
      <c r="H5" s="118"/>
      <c r="I5" s="118">
        <v>1996</v>
      </c>
      <c r="J5" s="118"/>
      <c r="K5" s="118">
        <v>1995</v>
      </c>
    </row>
    <row r="6" spans="1:11" ht="15.75" x14ac:dyDescent="0.25">
      <c r="A6" s="133" t="s">
        <v>21</v>
      </c>
      <c r="B6" s="133"/>
      <c r="C6" s="3"/>
      <c r="D6" s="3"/>
      <c r="E6" s="3"/>
      <c r="F6" s="3"/>
      <c r="G6" s="3"/>
      <c r="H6" s="3"/>
      <c r="I6" s="3"/>
      <c r="J6" s="3"/>
      <c r="K6" s="3"/>
    </row>
    <row r="7" spans="1:11" ht="21" customHeight="1" x14ac:dyDescent="0.25">
      <c r="A7" s="129" t="s">
        <v>22</v>
      </c>
      <c r="B7" s="129"/>
      <c r="C7" s="10">
        <v>702409</v>
      </c>
      <c r="D7" s="6"/>
      <c r="E7" s="10">
        <v>783936</v>
      </c>
      <c r="F7" s="6"/>
      <c r="G7" s="10">
        <v>571138</v>
      </c>
      <c r="H7" s="6"/>
      <c r="I7" s="10">
        <v>634678</v>
      </c>
      <c r="J7" s="6"/>
      <c r="K7" s="11" t="s">
        <v>23</v>
      </c>
    </row>
    <row r="8" spans="1:11" x14ac:dyDescent="0.25">
      <c r="A8" s="129" t="s">
        <v>24</v>
      </c>
      <c r="B8" s="129"/>
      <c r="C8" s="10">
        <v>239051</v>
      </c>
      <c r="D8" s="6"/>
      <c r="E8" s="10">
        <v>212784</v>
      </c>
      <c r="F8" s="6"/>
      <c r="G8" s="10">
        <v>196889</v>
      </c>
      <c r="H8" s="6"/>
      <c r="I8" s="10">
        <v>184082</v>
      </c>
      <c r="J8" s="6"/>
      <c r="K8" s="11" t="s">
        <v>23</v>
      </c>
    </row>
    <row r="9" spans="1:11" x14ac:dyDescent="0.25">
      <c r="A9" s="129" t="s">
        <v>25</v>
      </c>
      <c r="B9" s="129"/>
      <c r="C9" s="10">
        <v>5652</v>
      </c>
      <c r="D9" s="6"/>
      <c r="E9" s="10">
        <v>74960</v>
      </c>
      <c r="F9" s="6"/>
      <c r="G9" s="10">
        <v>65715</v>
      </c>
      <c r="H9" s="6"/>
      <c r="I9" s="10">
        <v>77509</v>
      </c>
      <c r="J9" s="6"/>
      <c r="K9" s="11" t="s">
        <v>23</v>
      </c>
    </row>
    <row r="10" spans="1:11" ht="15.75" thickBot="1" x14ac:dyDescent="0.3">
      <c r="A10" s="129" t="s">
        <v>26</v>
      </c>
      <c r="B10" s="129"/>
      <c r="C10" s="18">
        <v>-10906</v>
      </c>
      <c r="D10" s="18"/>
      <c r="E10" s="18">
        <v>-45855</v>
      </c>
      <c r="F10" s="18"/>
      <c r="G10" s="18">
        <v>-38250</v>
      </c>
      <c r="H10" s="18"/>
      <c r="I10" s="18">
        <v>-49339</v>
      </c>
      <c r="J10" s="18"/>
      <c r="K10" s="16" t="s">
        <v>23</v>
      </c>
    </row>
    <row r="11" spans="1:11" ht="15.75" x14ac:dyDescent="0.25">
      <c r="A11" s="133" t="s">
        <v>27</v>
      </c>
      <c r="B11" s="133"/>
      <c r="C11" s="13">
        <v>936206</v>
      </c>
      <c r="D11" s="3"/>
      <c r="E11" s="13">
        <v>1025825</v>
      </c>
      <c r="F11" s="3"/>
      <c r="G11" s="13">
        <v>795492</v>
      </c>
      <c r="H11" s="3"/>
      <c r="I11" s="13">
        <v>846930</v>
      </c>
      <c r="J11" s="3"/>
      <c r="K11" s="19">
        <v>740595</v>
      </c>
    </row>
    <row r="12" spans="1:11" ht="15.75" x14ac:dyDescent="0.25">
      <c r="A12" s="133" t="s">
        <v>28</v>
      </c>
      <c r="B12" s="133"/>
      <c r="C12" s="3"/>
      <c r="D12" s="3"/>
      <c r="E12" s="3"/>
      <c r="F12" s="3"/>
      <c r="G12" s="3"/>
      <c r="H12" s="3"/>
      <c r="I12" s="3"/>
      <c r="J12" s="3"/>
      <c r="K12" s="3"/>
    </row>
    <row r="13" spans="1:11" ht="21" customHeight="1" x14ac:dyDescent="0.25">
      <c r="A13" s="129" t="s">
        <v>22</v>
      </c>
      <c r="B13" s="129"/>
      <c r="C13" s="10">
        <v>241706</v>
      </c>
      <c r="D13" s="6"/>
      <c r="E13" s="10">
        <v>263988</v>
      </c>
      <c r="F13" s="6"/>
      <c r="G13" s="10">
        <v>169537</v>
      </c>
      <c r="H13" s="6"/>
      <c r="I13" s="10">
        <v>164473</v>
      </c>
      <c r="J13" s="6"/>
      <c r="K13" s="11" t="s">
        <v>23</v>
      </c>
    </row>
    <row r="14" spans="1:11" x14ac:dyDescent="0.25">
      <c r="A14" s="129" t="s">
        <v>24</v>
      </c>
      <c r="B14" s="129"/>
      <c r="C14" s="10">
        <v>64741</v>
      </c>
      <c r="D14" s="6"/>
      <c r="E14" s="10">
        <v>56167</v>
      </c>
      <c r="F14" s="6"/>
      <c r="G14" s="10">
        <v>41852</v>
      </c>
      <c r="H14" s="6"/>
      <c r="I14" s="10">
        <v>35199</v>
      </c>
      <c r="J14" s="6"/>
      <c r="K14" s="11" t="s">
        <v>23</v>
      </c>
    </row>
    <row r="15" spans="1:11" x14ac:dyDescent="0.25">
      <c r="A15" s="129" t="s">
        <v>25</v>
      </c>
      <c r="B15" s="129"/>
      <c r="C15" s="18">
        <v>-3845</v>
      </c>
      <c r="D15" s="18"/>
      <c r="E15" s="9">
        <v>-66</v>
      </c>
      <c r="F15" s="9"/>
      <c r="G15" s="18">
        <v>-1198</v>
      </c>
      <c r="H15" s="18"/>
      <c r="I15" s="10">
        <v>5130</v>
      </c>
      <c r="J15" s="6"/>
      <c r="K15" s="11" t="s">
        <v>23</v>
      </c>
    </row>
    <row r="16" spans="1:11" x14ac:dyDescent="0.25">
      <c r="A16" s="129" t="s">
        <v>29</v>
      </c>
      <c r="B16" s="129"/>
      <c r="C16" s="10">
        <v>302602</v>
      </c>
      <c r="D16" s="6"/>
      <c r="E16" s="10">
        <v>312262</v>
      </c>
      <c r="F16" s="6"/>
      <c r="G16" s="10">
        <v>214709</v>
      </c>
      <c r="H16" s="6"/>
      <c r="I16" s="10">
        <v>207600</v>
      </c>
      <c r="J16" s="6"/>
      <c r="K16" s="11" t="s">
        <v>23</v>
      </c>
    </row>
    <row r="17" spans="1:14" ht="15.75" thickBot="1" x14ac:dyDescent="0.3">
      <c r="A17" s="129" t="s">
        <v>26</v>
      </c>
      <c r="B17" s="129"/>
      <c r="C17" s="11" t="s">
        <v>30</v>
      </c>
      <c r="D17" s="12"/>
      <c r="E17" s="11">
        <v>23</v>
      </c>
      <c r="F17" s="12"/>
      <c r="G17" s="18">
        <v>-1704</v>
      </c>
      <c r="H17" s="18"/>
      <c r="I17" s="18">
        <v>-2642</v>
      </c>
      <c r="J17" s="18"/>
      <c r="K17" s="16" t="s">
        <v>23</v>
      </c>
    </row>
    <row r="18" spans="1:14" ht="15.75" x14ac:dyDescent="0.25">
      <c r="A18" s="133" t="s">
        <v>27</v>
      </c>
      <c r="B18" s="133"/>
      <c r="C18" s="13">
        <v>302602</v>
      </c>
      <c r="D18" s="3"/>
      <c r="E18" s="13">
        <v>320112</v>
      </c>
      <c r="F18" s="3"/>
      <c r="G18" s="13">
        <v>216516</v>
      </c>
      <c r="H18" s="3"/>
      <c r="I18" s="13">
        <v>231995</v>
      </c>
      <c r="J18" s="3"/>
      <c r="K18" s="19">
        <v>199507</v>
      </c>
    </row>
    <row r="19" spans="1:14" ht="15.75" thickBot="1" x14ac:dyDescent="0.3">
      <c r="C19" s="17">
        <v>1999</v>
      </c>
      <c r="D19" s="17"/>
      <c r="E19" s="17">
        <v>1998</v>
      </c>
      <c r="F19" s="17"/>
      <c r="G19" s="17">
        <v>1997</v>
      </c>
      <c r="H19" s="17"/>
      <c r="I19" s="17">
        <v>1996</v>
      </c>
      <c r="J19" s="17"/>
      <c r="K19" s="17">
        <v>1995</v>
      </c>
    </row>
    <row r="20" spans="1:14" ht="15.75" x14ac:dyDescent="0.25">
      <c r="A20" s="132" t="s">
        <v>31</v>
      </c>
      <c r="B20" s="132"/>
      <c r="C20" s="3"/>
      <c r="D20" s="3"/>
      <c r="E20" s="3"/>
      <c r="F20" s="3"/>
      <c r="G20" s="3"/>
      <c r="H20" s="3"/>
      <c r="I20" s="3"/>
      <c r="J20" s="3"/>
      <c r="K20" s="3"/>
    </row>
    <row r="21" spans="1:14" x14ac:dyDescent="0.25">
      <c r="A21" s="129" t="s">
        <v>32</v>
      </c>
      <c r="B21" s="129"/>
      <c r="C21" s="10">
        <v>936206</v>
      </c>
      <c r="D21" s="6"/>
      <c r="E21" s="10">
        <v>1025825</v>
      </c>
      <c r="F21" s="6"/>
      <c r="G21" s="10">
        <v>795492</v>
      </c>
      <c r="H21" s="6"/>
      <c r="I21" s="10">
        <v>846930</v>
      </c>
      <c r="J21" s="6"/>
      <c r="K21" s="18">
        <v>740595</v>
      </c>
    </row>
    <row r="22" spans="1:14" x14ac:dyDescent="0.25">
      <c r="A22" s="130" t="s">
        <v>33</v>
      </c>
      <c r="B22" s="130"/>
      <c r="C22" s="10">
        <v>170532</v>
      </c>
      <c r="D22" s="6"/>
      <c r="E22" s="10">
        <v>212849</v>
      </c>
      <c r="F22" s="6"/>
      <c r="G22" s="10">
        <v>153825</v>
      </c>
      <c r="H22" s="6"/>
      <c r="I22" s="10">
        <v>184710</v>
      </c>
      <c r="J22" s="6"/>
      <c r="K22" s="11" t="s">
        <v>30</v>
      </c>
      <c r="L22" s="9"/>
      <c r="M22" s="6"/>
      <c r="N22" s="6"/>
    </row>
    <row r="23" spans="1:14" ht="37.5" customHeight="1" x14ac:dyDescent="0.25">
      <c r="A23" s="130" t="s">
        <v>34</v>
      </c>
      <c r="B23" s="130"/>
      <c r="C23" s="10">
        <v>463072</v>
      </c>
      <c r="D23" s="6"/>
      <c r="E23" s="10">
        <v>492864</v>
      </c>
      <c r="F23" s="6"/>
      <c r="G23" s="10">
        <v>425151</v>
      </c>
      <c r="H23" s="6"/>
      <c r="I23" s="10">
        <v>430225</v>
      </c>
      <c r="J23" s="6"/>
      <c r="K23" s="18">
        <v>541088</v>
      </c>
      <c r="L23" s="18"/>
      <c r="M23" s="6"/>
      <c r="N23" s="6"/>
    </row>
    <row r="24" spans="1:14" x14ac:dyDescent="0.25">
      <c r="A24" s="129" t="s">
        <v>28</v>
      </c>
      <c r="B24" s="129"/>
      <c r="C24" s="10">
        <v>302602</v>
      </c>
      <c r="D24" s="6"/>
      <c r="E24" s="10">
        <v>320112</v>
      </c>
      <c r="F24" s="6"/>
      <c r="G24" s="10">
        <v>216516</v>
      </c>
      <c r="H24" s="6"/>
      <c r="I24" s="10">
        <v>231995</v>
      </c>
      <c r="J24" s="6"/>
      <c r="K24" s="18">
        <v>199507</v>
      </c>
      <c r="L24" s="18"/>
      <c r="M24" s="6"/>
      <c r="N24" s="6"/>
    </row>
    <row r="25" spans="1:14" ht="27.75" customHeight="1" x14ac:dyDescent="0.25">
      <c r="A25" s="130" t="s">
        <v>35</v>
      </c>
      <c r="B25" s="130"/>
      <c r="C25" s="10">
        <v>159415</v>
      </c>
      <c r="D25" s="3"/>
      <c r="E25" s="10">
        <v>197206</v>
      </c>
      <c r="F25" s="3"/>
      <c r="G25" s="10">
        <v>144434</v>
      </c>
      <c r="H25" s="3"/>
      <c r="I25" s="10">
        <v>147527</v>
      </c>
      <c r="J25" s="3"/>
      <c r="K25" s="18">
        <v>123036</v>
      </c>
      <c r="L25" s="18"/>
      <c r="M25" s="3"/>
      <c r="N25" s="3"/>
    </row>
    <row r="26" spans="1:14" x14ac:dyDescent="0.25">
      <c r="A26" s="130" t="s">
        <v>36</v>
      </c>
      <c r="B26" s="130"/>
      <c r="C26" s="10">
        <v>75263</v>
      </c>
      <c r="D26" s="6"/>
      <c r="E26" s="10">
        <v>136393</v>
      </c>
      <c r="F26" s="6"/>
      <c r="G26" s="10">
        <v>98257</v>
      </c>
      <c r="H26" s="6"/>
      <c r="I26" s="10">
        <v>107015</v>
      </c>
      <c r="J26" s="6"/>
      <c r="K26" s="18">
        <v>69531</v>
      </c>
      <c r="L26" s="18"/>
      <c r="M26" s="6"/>
      <c r="N26" s="6"/>
    </row>
    <row r="27" spans="1:14" x14ac:dyDescent="0.25">
      <c r="A27" s="130" t="s">
        <v>37</v>
      </c>
      <c r="B27" s="130"/>
      <c r="C27" s="10">
        <v>35437</v>
      </c>
      <c r="D27" s="6"/>
      <c r="E27" s="18">
        <v>-32659</v>
      </c>
      <c r="F27" s="18"/>
      <c r="G27" s="18">
        <v>-470313</v>
      </c>
      <c r="H27" s="18"/>
      <c r="I27" s="10">
        <v>2104</v>
      </c>
      <c r="J27" s="6"/>
      <c r="K27" s="11" t="s">
        <v>30</v>
      </c>
      <c r="L27" s="9"/>
      <c r="M27" s="6"/>
      <c r="N27" s="6"/>
    </row>
    <row r="28" spans="1:14" x14ac:dyDescent="0.25">
      <c r="A28" s="130" t="s">
        <v>38</v>
      </c>
      <c r="B28" s="130"/>
      <c r="C28" s="10">
        <v>24167</v>
      </c>
      <c r="D28" s="6"/>
      <c r="E28" s="10">
        <v>56100</v>
      </c>
      <c r="F28" s="6"/>
      <c r="G28" s="10">
        <v>204412</v>
      </c>
      <c r="H28" s="20"/>
      <c r="I28" s="10">
        <v>21105</v>
      </c>
      <c r="J28" s="6"/>
      <c r="K28" s="18">
        <v>11314</v>
      </c>
      <c r="L28" s="18"/>
      <c r="M28" s="6"/>
      <c r="N28" s="6"/>
    </row>
    <row r="29" spans="1:14" ht="21.75" customHeight="1" x14ac:dyDescent="0.25">
      <c r="A29" s="130" t="s">
        <v>39</v>
      </c>
      <c r="B29" s="130"/>
      <c r="C29" s="11">
        <v>681</v>
      </c>
      <c r="D29" s="6"/>
      <c r="E29" s="11">
        <v>599</v>
      </c>
      <c r="F29" s="6"/>
      <c r="G29" s="18">
        <v>-12584</v>
      </c>
      <c r="H29" s="18"/>
      <c r="I29" s="18">
        <v>-7038</v>
      </c>
      <c r="J29" s="18"/>
      <c r="K29" s="9">
        <v>607</v>
      </c>
      <c r="L29" s="9"/>
      <c r="M29" s="6"/>
      <c r="N29" s="6"/>
    </row>
    <row r="30" spans="1:14" ht="27" customHeight="1" x14ac:dyDescent="0.25">
      <c r="A30" s="130" t="s">
        <v>17</v>
      </c>
      <c r="B30" s="130"/>
      <c r="C30" s="18">
        <v>-17552</v>
      </c>
      <c r="D30" s="18"/>
      <c r="E30" s="18">
        <v>-3974</v>
      </c>
      <c r="F30" s="18"/>
      <c r="G30" s="10">
        <v>9508</v>
      </c>
      <c r="H30" s="6"/>
      <c r="I30" s="10">
        <v>17861</v>
      </c>
      <c r="J30" s="6"/>
      <c r="K30" s="18">
        <v>-7808</v>
      </c>
      <c r="L30" s="18"/>
      <c r="M30" s="18"/>
      <c r="N30" s="6"/>
    </row>
    <row r="31" spans="1:14" ht="23.25" customHeight="1" x14ac:dyDescent="0.25">
      <c r="A31" s="130" t="s">
        <v>40</v>
      </c>
      <c r="B31" s="130"/>
      <c r="C31" s="18">
        <v>-8551</v>
      </c>
      <c r="D31" s="18"/>
      <c r="E31" s="18">
        <v>-40303</v>
      </c>
      <c r="F31" s="18"/>
      <c r="G31" s="10">
        <v>236650</v>
      </c>
      <c r="H31" s="6"/>
      <c r="I31" s="18">
        <v>-34933</v>
      </c>
      <c r="J31" s="18"/>
      <c r="K31" s="18">
        <v>20441</v>
      </c>
      <c r="L31" s="18"/>
      <c r="M31" s="6"/>
      <c r="N31" s="6"/>
    </row>
    <row r="32" spans="1:14" x14ac:dyDescent="0.25">
      <c r="A32" s="130" t="s">
        <v>41</v>
      </c>
      <c r="B32" s="130"/>
      <c r="C32" s="11" t="s">
        <v>30</v>
      </c>
      <c r="D32" s="20"/>
      <c r="E32" s="18">
        <v>-8452</v>
      </c>
      <c r="F32" s="18"/>
      <c r="G32" s="11" t="s">
        <v>30</v>
      </c>
      <c r="H32" s="6"/>
      <c r="I32" s="11" t="s">
        <v>30</v>
      </c>
      <c r="J32" s="6"/>
      <c r="K32" s="25" t="s">
        <v>30</v>
      </c>
      <c r="L32" s="9"/>
      <c r="M32" s="6"/>
      <c r="N32" s="6"/>
    </row>
    <row r="33" spans="1:14" ht="22.5" customHeight="1" thickBot="1" x14ac:dyDescent="0.3">
      <c r="A33" s="130" t="s">
        <v>42</v>
      </c>
      <c r="B33" s="130"/>
      <c r="C33" s="24">
        <v>-196269</v>
      </c>
      <c r="D33" s="22"/>
      <c r="E33" s="16" t="s">
        <v>30</v>
      </c>
      <c r="F33" s="12"/>
      <c r="G33" s="16" t="s">
        <v>30</v>
      </c>
      <c r="H33" s="12"/>
      <c r="I33" s="16" t="s">
        <v>30</v>
      </c>
      <c r="J33" s="12"/>
      <c r="K33" s="16" t="s">
        <v>30</v>
      </c>
      <c r="M33" s="12"/>
      <c r="N33" s="12"/>
    </row>
    <row r="34" spans="1:14" ht="15.75" x14ac:dyDescent="0.25">
      <c r="A34" s="131" t="s">
        <v>43</v>
      </c>
      <c r="B34" s="131"/>
      <c r="C34" s="21">
        <v>-204820</v>
      </c>
      <c r="D34" s="21"/>
      <c r="E34" s="21">
        <v>-48755</v>
      </c>
      <c r="F34" s="21"/>
      <c r="G34" s="14">
        <v>236650</v>
      </c>
      <c r="H34" s="3"/>
      <c r="I34" s="21">
        <v>-34933</v>
      </c>
      <c r="J34" s="21"/>
      <c r="K34" s="21">
        <v>20441</v>
      </c>
      <c r="L34" s="21"/>
      <c r="M34" s="3"/>
      <c r="N34" s="3"/>
    </row>
    <row r="35" spans="1:14" ht="15.75" x14ac:dyDescent="0.25">
      <c r="A35" s="129" t="s">
        <v>44</v>
      </c>
      <c r="B35" s="129"/>
      <c r="C35" s="11">
        <v>3.74</v>
      </c>
      <c r="D35" s="3"/>
      <c r="E35" s="11">
        <v>5.07</v>
      </c>
      <c r="F35" s="3"/>
      <c r="G35" s="11">
        <v>1.85</v>
      </c>
      <c r="H35" s="3"/>
      <c r="I35" s="11">
        <v>0.93</v>
      </c>
      <c r="J35" s="3"/>
      <c r="K35" s="9">
        <v>1.03</v>
      </c>
      <c r="L35" s="9"/>
      <c r="M35" s="3"/>
      <c r="N35" s="3"/>
    </row>
    <row r="36" spans="1:14" x14ac:dyDescent="0.25">
      <c r="A36" s="129" t="s">
        <v>45</v>
      </c>
      <c r="B36" s="129"/>
      <c r="C36" s="11">
        <v>3.67</v>
      </c>
      <c r="D36" s="6"/>
      <c r="E36" s="11">
        <v>4.99</v>
      </c>
      <c r="F36" s="6"/>
      <c r="G36" s="11">
        <v>1.76</v>
      </c>
      <c r="H36" s="6"/>
      <c r="I36" s="11">
        <v>0.83</v>
      </c>
      <c r="J36" s="6"/>
      <c r="K36" s="9">
        <v>0.94</v>
      </c>
      <c r="L36" s="9"/>
      <c r="M36" s="6"/>
      <c r="N36" s="6"/>
    </row>
    <row r="37" spans="1:14" ht="21" customHeight="1" x14ac:dyDescent="0.25">
      <c r="A37" s="129" t="s">
        <v>46</v>
      </c>
      <c r="B37" s="129"/>
      <c r="C37" s="11">
        <v>24.5</v>
      </c>
      <c r="D37" s="6"/>
      <c r="E37" s="11">
        <v>23.1</v>
      </c>
      <c r="F37" s="6"/>
      <c r="G37" s="11">
        <v>12.2</v>
      </c>
      <c r="H37" s="6"/>
      <c r="I37" s="11">
        <v>11</v>
      </c>
      <c r="J37" s="6"/>
      <c r="K37" s="9">
        <v>11.4</v>
      </c>
      <c r="L37" s="9"/>
      <c r="M37" s="6"/>
      <c r="N37" s="6"/>
    </row>
    <row r="38" spans="1:14" ht="18" customHeight="1" x14ac:dyDescent="0.25">
      <c r="A38" s="129" t="s">
        <v>47</v>
      </c>
      <c r="B38" s="129"/>
      <c r="C38" s="9">
        <v>-1.8</v>
      </c>
      <c r="D38" s="9"/>
      <c r="E38" s="9">
        <v>-0.45</v>
      </c>
      <c r="F38" s="9"/>
      <c r="G38" s="11">
        <v>2.15</v>
      </c>
      <c r="H38" s="6"/>
      <c r="I38" s="9">
        <v>-0.34</v>
      </c>
      <c r="J38" s="23"/>
      <c r="K38" s="9">
        <v>0.11</v>
      </c>
      <c r="L38" s="9"/>
      <c r="M38" s="6"/>
      <c r="N38" s="6"/>
    </row>
    <row r="41" spans="1:14" x14ac:dyDescent="0.25">
      <c r="B41" s="5"/>
    </row>
  </sheetData>
  <mergeCells count="32">
    <mergeCell ref="A7:B7"/>
    <mergeCell ref="A8:B8"/>
    <mergeCell ref="A9:B9"/>
    <mergeCell ref="A6:B6"/>
    <mergeCell ref="A11:B11"/>
    <mergeCell ref="A12:B12"/>
    <mergeCell ref="A13:B13"/>
    <mergeCell ref="A14:B14"/>
    <mergeCell ref="A10:B10"/>
    <mergeCell ref="A20:B20"/>
    <mergeCell ref="A17:B17"/>
    <mergeCell ref="A18:B18"/>
    <mergeCell ref="A15:B15"/>
    <mergeCell ref="A16:B16"/>
    <mergeCell ref="A24:B24"/>
    <mergeCell ref="A25:B25"/>
    <mergeCell ref="A26:B26"/>
    <mergeCell ref="A21:B21"/>
    <mergeCell ref="A22:B22"/>
    <mergeCell ref="A23:B23"/>
    <mergeCell ref="A31:B31"/>
    <mergeCell ref="A32:B32"/>
    <mergeCell ref="A29:B29"/>
    <mergeCell ref="A30:B30"/>
    <mergeCell ref="A27:B27"/>
    <mergeCell ref="A28:B28"/>
    <mergeCell ref="A38:B38"/>
    <mergeCell ref="A35:B35"/>
    <mergeCell ref="A36:B36"/>
    <mergeCell ref="A37:B37"/>
    <mergeCell ref="A33:B33"/>
    <mergeCell ref="A34:B34"/>
  </mergeCells>
  <hyperlinks>
    <hyperlink ref="A1" location="Contents!A1" display="BACK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opLeftCell="A2" workbookViewId="0">
      <pane ySplit="1" topLeftCell="A3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44" bestFit="1" customWidth="1"/>
    <col min="2" max="8" width="12.5703125" bestFit="1" customWidth="1"/>
  </cols>
  <sheetData>
    <row r="2" spans="1:6" x14ac:dyDescent="0.25">
      <c r="A2" s="126" t="s">
        <v>112</v>
      </c>
    </row>
    <row r="5" spans="1:6" ht="15.75" thickBot="1" x14ac:dyDescent="0.3">
      <c r="A5" s="44" t="s">
        <v>53</v>
      </c>
    </row>
    <row r="6" spans="1:6" x14ac:dyDescent="0.25">
      <c r="A6" s="52"/>
      <c r="B6" s="85">
        <v>1999</v>
      </c>
      <c r="C6" s="85">
        <v>2000</v>
      </c>
      <c r="D6" s="85">
        <v>2001</v>
      </c>
      <c r="E6" s="85">
        <v>2002</v>
      </c>
      <c r="F6" s="86">
        <v>2003</v>
      </c>
    </row>
    <row r="7" spans="1:6" x14ac:dyDescent="0.25">
      <c r="A7" s="99" t="s">
        <v>50</v>
      </c>
      <c r="B7" s="48">
        <f>IS!C24</f>
        <v>302602</v>
      </c>
      <c r="C7" s="49"/>
      <c r="D7" s="49"/>
      <c r="E7" s="49"/>
      <c r="F7" s="55"/>
    </row>
    <row r="8" spans="1:6" x14ac:dyDescent="0.25">
      <c r="A8" s="54" t="s">
        <v>51</v>
      </c>
      <c r="B8" s="68"/>
      <c r="C8" s="41">
        <f>((IS!C24/IS!K24)^(1/4))-1</f>
        <v>0.10975833102330346</v>
      </c>
      <c r="D8" s="41">
        <f>$C$8</f>
        <v>0.10975833102330346</v>
      </c>
      <c r="E8" s="41">
        <f t="shared" ref="E8:F8" si="0">$C$8</f>
        <v>0.10975833102330346</v>
      </c>
      <c r="F8" s="56">
        <f t="shared" si="0"/>
        <v>0.10975833102330346</v>
      </c>
    </row>
    <row r="9" spans="1:6" x14ac:dyDescent="0.25">
      <c r="A9" s="54" t="s">
        <v>52</v>
      </c>
      <c r="B9" s="89">
        <f>B7</f>
        <v>302602</v>
      </c>
      <c r="C9" s="48">
        <f>B7*(1+C8)</f>
        <v>335815.09048431367</v>
      </c>
      <c r="D9" s="48">
        <f>C9*(1+D8)</f>
        <v>372673.59434831154</v>
      </c>
      <c r="E9" s="48">
        <f t="shared" ref="E9:F9" si="1">D9*(1+E8)</f>
        <v>413577.62608043785</v>
      </c>
      <c r="F9" s="76">
        <f t="shared" si="1"/>
        <v>458971.21606760658</v>
      </c>
    </row>
    <row r="10" spans="1:6" x14ac:dyDescent="0.25">
      <c r="A10" s="54" t="s">
        <v>49</v>
      </c>
      <c r="B10" s="48">
        <f>IS!C28</f>
        <v>24167</v>
      </c>
      <c r="C10" s="49"/>
      <c r="D10" s="49"/>
      <c r="E10" s="49"/>
      <c r="F10" s="55"/>
    </row>
    <row r="11" spans="1:6" x14ac:dyDescent="0.25">
      <c r="A11" s="54" t="s">
        <v>51</v>
      </c>
      <c r="B11" s="68"/>
      <c r="C11" s="100">
        <f>((IS!C28/IS!K28)^(1/4))-1</f>
        <v>0.20893135575976785</v>
      </c>
      <c r="D11" s="41">
        <f>$C$11</f>
        <v>0.20893135575976785</v>
      </c>
      <c r="E11" s="41">
        <f t="shared" ref="E11:F11" si="2">$C$11</f>
        <v>0.20893135575976785</v>
      </c>
      <c r="F11" s="56">
        <f t="shared" si="2"/>
        <v>0.20893135575976785</v>
      </c>
    </row>
    <row r="12" spans="1:6" x14ac:dyDescent="0.25">
      <c r="A12" s="54" t="s">
        <v>54</v>
      </c>
      <c r="B12" s="48">
        <f>B10</f>
        <v>24167</v>
      </c>
      <c r="C12" s="48">
        <f>B10*(1+C11)</f>
        <v>29216.244074646311</v>
      </c>
      <c r="D12" s="48">
        <f>C12*(1+D11)</f>
        <v>35320.433559370445</v>
      </c>
      <c r="E12" s="48">
        <f t="shared" ref="E12:F12" si="3">D12*(1+E11)</f>
        <v>42699.979628952518</v>
      </c>
      <c r="F12" s="76">
        <f t="shared" si="3"/>
        <v>51621.344263744038</v>
      </c>
    </row>
    <row r="13" spans="1:6" ht="15.75" thickBot="1" x14ac:dyDescent="0.3">
      <c r="A13" s="77" t="s">
        <v>48</v>
      </c>
      <c r="B13" s="30">
        <f>B7-B10</f>
        <v>278435</v>
      </c>
      <c r="C13" s="30">
        <f>C9-C12</f>
        <v>306598.84640966734</v>
      </c>
      <c r="D13" s="30">
        <f t="shared" ref="D13:F13" si="4">D9-D12</f>
        <v>337353.16078894108</v>
      </c>
      <c r="E13" s="30">
        <f t="shared" si="4"/>
        <v>370877.64645148534</v>
      </c>
      <c r="F13" s="101">
        <f t="shared" si="4"/>
        <v>407349.87180386257</v>
      </c>
    </row>
  </sheetData>
  <hyperlinks>
    <hyperlink ref="A2" location="Contents!A1" display="BACK TO THE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0.7109375" customWidth="1"/>
    <col min="2" max="2" width="15" bestFit="1" customWidth="1"/>
    <col min="3" max="4" width="14.28515625" bestFit="1" customWidth="1"/>
    <col min="5" max="6" width="12.5703125" bestFit="1" customWidth="1"/>
  </cols>
  <sheetData>
    <row r="1" spans="1:6" x14ac:dyDescent="0.25">
      <c r="A1" s="126" t="s">
        <v>112</v>
      </c>
    </row>
    <row r="5" spans="1:6" ht="15.75" thickBot="1" x14ac:dyDescent="0.3">
      <c r="A5" s="44" t="s">
        <v>55</v>
      </c>
    </row>
    <row r="6" spans="1:6" x14ac:dyDescent="0.25">
      <c r="A6" s="52"/>
      <c r="B6" s="85">
        <v>1999</v>
      </c>
      <c r="C6" s="85">
        <v>2000</v>
      </c>
      <c r="D6" s="85">
        <v>2001</v>
      </c>
      <c r="E6" s="85">
        <v>2002</v>
      </c>
      <c r="F6" s="86">
        <v>2003</v>
      </c>
    </row>
    <row r="7" spans="1:6" x14ac:dyDescent="0.25">
      <c r="A7" s="54" t="s">
        <v>56</v>
      </c>
      <c r="B7" s="87">
        <f>BS!B6</f>
        <v>1164002</v>
      </c>
      <c r="C7" s="49"/>
      <c r="D7" s="49"/>
      <c r="E7" s="49"/>
      <c r="F7" s="55"/>
    </row>
    <row r="8" spans="1:6" x14ac:dyDescent="0.25">
      <c r="A8" s="54" t="s">
        <v>51</v>
      </c>
      <c r="B8" s="49"/>
      <c r="C8" s="68">
        <f>((BS!B6/BS!G6)^(1/4))-1</f>
        <v>-6.8015171853212819E-2</v>
      </c>
      <c r="D8" s="41">
        <f>$C$8</f>
        <v>-6.8015171853212819E-2</v>
      </c>
      <c r="E8" s="41">
        <f t="shared" ref="E8:F8" si="0">$C$8</f>
        <v>-6.8015171853212819E-2</v>
      </c>
      <c r="F8" s="56">
        <f t="shared" si="0"/>
        <v>-6.8015171853212819E-2</v>
      </c>
    </row>
    <row r="9" spans="1:6" x14ac:dyDescent="0.25">
      <c r="A9" s="88" t="s">
        <v>57</v>
      </c>
      <c r="B9" s="48">
        <f>B7</f>
        <v>1164002</v>
      </c>
      <c r="C9" s="48">
        <f>B9*(1+C8)</f>
        <v>1084832.2039325165</v>
      </c>
      <c r="D9" s="48">
        <f>C9*(1+D8)</f>
        <v>1011047.1551501468</v>
      </c>
      <c r="E9" s="48">
        <f t="shared" ref="E9:F9" si="1">D9*(1+E8)</f>
        <v>942280.60914090765</v>
      </c>
      <c r="F9" s="76">
        <f t="shared" si="1"/>
        <v>878191.23157623876</v>
      </c>
    </row>
    <row r="10" spans="1:6" x14ac:dyDescent="0.25">
      <c r="A10" s="54" t="s">
        <v>61</v>
      </c>
      <c r="B10" s="48">
        <f>BS!C7</f>
        <v>626590</v>
      </c>
      <c r="C10" s="49"/>
      <c r="D10" s="49"/>
      <c r="E10" s="49"/>
      <c r="F10" s="55"/>
    </row>
    <row r="11" spans="1:6" x14ac:dyDescent="0.25">
      <c r="A11" s="54" t="s">
        <v>51</v>
      </c>
      <c r="B11" s="49"/>
      <c r="C11" s="68">
        <f>((BS!C7/BS!G7)^(1/4))-1</f>
        <v>0.11174899273937511</v>
      </c>
      <c r="D11" s="41">
        <f>$C$11</f>
        <v>0.11174899273937511</v>
      </c>
      <c r="E11" s="41">
        <f t="shared" ref="E11:F11" si="2">$C$11</f>
        <v>0.11174899273937511</v>
      </c>
      <c r="F11" s="56">
        <f t="shared" si="2"/>
        <v>0.11174899273937511</v>
      </c>
    </row>
    <row r="12" spans="1:6" x14ac:dyDescent="0.25">
      <c r="A12" s="88" t="s">
        <v>62</v>
      </c>
      <c r="B12" s="89">
        <f>B10</f>
        <v>626590</v>
      </c>
      <c r="C12" s="48">
        <f>B12*(1+C11)</f>
        <v>696610.801360565</v>
      </c>
      <c r="D12" s="48">
        <f t="shared" ref="D12:F12" si="3">C12*(1+D11)</f>
        <v>774456.35674397706</v>
      </c>
      <c r="E12" s="48">
        <f t="shared" si="3"/>
        <v>861001.07453072269</v>
      </c>
      <c r="F12" s="76">
        <f t="shared" si="3"/>
        <v>957217.07735705061</v>
      </c>
    </row>
    <row r="13" spans="1:6" x14ac:dyDescent="0.25">
      <c r="A13" s="54" t="s">
        <v>58</v>
      </c>
      <c r="B13" s="48">
        <f>SUM(BS!C10,BS!C12,BS!C13)-SUM(BS!C17)</f>
        <v>13704</v>
      </c>
      <c r="C13" s="49"/>
      <c r="D13" s="49"/>
      <c r="E13" s="49"/>
      <c r="F13" s="55"/>
    </row>
    <row r="14" spans="1:6" x14ac:dyDescent="0.25">
      <c r="A14" s="54" t="s">
        <v>51</v>
      </c>
      <c r="B14" s="68">
        <f>((BS!C27/BS!G27)^(1/4))-1</f>
        <v>-0.37159544346951889</v>
      </c>
      <c r="C14" s="41">
        <f>B14</f>
        <v>-0.37159544346951889</v>
      </c>
      <c r="D14" s="41">
        <f t="shared" ref="D14:F14" si="4">C14</f>
        <v>-0.37159544346951889</v>
      </c>
      <c r="E14" s="41">
        <f t="shared" si="4"/>
        <v>-0.37159544346951889</v>
      </c>
      <c r="F14" s="56">
        <f t="shared" si="4"/>
        <v>-0.37159544346951889</v>
      </c>
    </row>
    <row r="15" spans="1:6" ht="15.75" thickBot="1" x14ac:dyDescent="0.3">
      <c r="A15" s="77" t="s">
        <v>65</v>
      </c>
      <c r="B15" s="90">
        <f>B13</f>
        <v>13704</v>
      </c>
      <c r="C15" s="90">
        <f>B15*(1+C14)</f>
        <v>8611.656042693714</v>
      </c>
      <c r="D15" s="90">
        <f t="shared" ref="D15:F15" si="5">C15*(1+D14)</f>
        <v>5411.6038965019816</v>
      </c>
      <c r="E15" s="90">
        <f t="shared" si="5"/>
        <v>3400.6765466999514</v>
      </c>
      <c r="F15" s="91">
        <f t="shared" si="5"/>
        <v>2137.0006372325906</v>
      </c>
    </row>
    <row r="17" spans="1:6" ht="15.75" thickBot="1" x14ac:dyDescent="0.3"/>
    <row r="18" spans="1:6" x14ac:dyDescent="0.25">
      <c r="A18" s="92" t="s">
        <v>60</v>
      </c>
      <c r="B18" s="93">
        <f>(BS!D27-FBS!B15)</f>
        <v>425491</v>
      </c>
      <c r="C18" s="94">
        <f>B15-C15</f>
        <v>5092.343957306286</v>
      </c>
      <c r="D18" s="94">
        <f t="shared" ref="D18:F18" si="6">C15-D15</f>
        <v>3200.0521461917324</v>
      </c>
      <c r="E18" s="94">
        <f t="shared" si="6"/>
        <v>2010.9273498020302</v>
      </c>
      <c r="F18" s="95">
        <f t="shared" si="6"/>
        <v>1263.6759094673607</v>
      </c>
    </row>
    <row r="19" spans="1:6" x14ac:dyDescent="0.25">
      <c r="A19" s="88" t="s">
        <v>59</v>
      </c>
      <c r="B19" s="89">
        <f>(BS!D6-BS!B6)</f>
        <v>255510</v>
      </c>
      <c r="C19" s="89">
        <f>B9-C9</f>
        <v>79169.79606748349</v>
      </c>
      <c r="D19" s="89">
        <f t="shared" ref="D19:F19" si="7">C9-D9</f>
        <v>73785.048782369704</v>
      </c>
      <c r="E19" s="89">
        <f t="shared" si="7"/>
        <v>68766.546009239159</v>
      </c>
      <c r="F19" s="96">
        <f t="shared" si="7"/>
        <v>64089.377564668888</v>
      </c>
    </row>
    <row r="20" spans="1:6" ht="15.75" thickBot="1" x14ac:dyDescent="0.3">
      <c r="A20" s="77" t="s">
        <v>64</v>
      </c>
      <c r="B20" s="97">
        <f>BS!D7-BS!C7</f>
        <v>343728</v>
      </c>
      <c r="C20" s="36">
        <f>B12-C12</f>
        <v>-70020.801360565005</v>
      </c>
      <c r="D20" s="36">
        <f t="shared" ref="D20:F20" si="8">C12-D12</f>
        <v>-77845.555383412051</v>
      </c>
      <c r="E20" s="36">
        <f t="shared" si="8"/>
        <v>-86544.717786745634</v>
      </c>
      <c r="F20" s="98">
        <f t="shared" si="8"/>
        <v>-96216.002826327924</v>
      </c>
    </row>
  </sheetData>
  <hyperlinks>
    <hyperlink ref="A1" location="Contents!A1" display="BACK TO THE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1.42578125" customWidth="1"/>
    <col min="2" max="2" width="13.140625" bestFit="1" customWidth="1"/>
    <col min="3" max="3" width="10.7109375" bestFit="1" customWidth="1"/>
    <col min="5" max="5" width="20.42578125" bestFit="1" customWidth="1"/>
  </cols>
  <sheetData>
    <row r="1" spans="1:5" x14ac:dyDescent="0.25">
      <c r="A1" s="126" t="s">
        <v>112</v>
      </c>
    </row>
    <row r="4" spans="1:5" x14ac:dyDescent="0.25">
      <c r="A4" s="34" t="s">
        <v>68</v>
      </c>
    </row>
    <row r="5" spans="1:5" ht="15.75" thickBot="1" x14ac:dyDescent="0.3"/>
    <row r="6" spans="1:5" ht="15.75" thickBot="1" x14ac:dyDescent="0.3">
      <c r="A6" s="79"/>
      <c r="B6" s="80" t="s">
        <v>71</v>
      </c>
      <c r="C6" s="80" t="s">
        <v>72</v>
      </c>
      <c r="D6" s="80" t="s">
        <v>74</v>
      </c>
      <c r="E6" s="81" t="s">
        <v>68</v>
      </c>
    </row>
    <row r="7" spans="1:5" x14ac:dyDescent="0.25">
      <c r="A7" s="54" t="s">
        <v>70</v>
      </c>
      <c r="B7" s="49">
        <v>4863</v>
      </c>
      <c r="C7" s="68">
        <f>B7/$B$9</f>
        <v>0.86114997078146305</v>
      </c>
      <c r="D7" s="69">
        <f>B16</f>
        <v>9.3015933833879433E-2</v>
      </c>
      <c r="E7" s="70">
        <f>C7*D7</f>
        <v>8.0100668703255773E-2</v>
      </c>
    </row>
    <row r="8" spans="1:5" x14ac:dyDescent="0.25">
      <c r="A8" s="54" t="s">
        <v>73</v>
      </c>
      <c r="B8" s="49">
        <v>784.1</v>
      </c>
      <c r="C8" s="68">
        <f>B8/$B$9</f>
        <v>0.13885002921853695</v>
      </c>
      <c r="D8" s="41">
        <f>B20</f>
        <v>9.5986481316158653E-2</v>
      </c>
      <c r="E8" s="70">
        <f>D8*C8</f>
        <v>1.332772573533318E-2</v>
      </c>
    </row>
    <row r="9" spans="1:5" ht="15.75" thickBot="1" x14ac:dyDescent="0.3">
      <c r="A9" s="58" t="s">
        <v>27</v>
      </c>
      <c r="B9" s="8">
        <f>SUM(B7:B8)</f>
        <v>5647.1</v>
      </c>
      <c r="C9" s="8"/>
      <c r="D9" s="8"/>
      <c r="E9" s="72">
        <f>SUM(E7:E8)</f>
        <v>9.3428394438588955E-2</v>
      </c>
    </row>
    <row r="11" spans="1:5" ht="15.75" thickBot="1" x14ac:dyDescent="0.3"/>
    <row r="12" spans="1:5" x14ac:dyDescent="0.25">
      <c r="A12" s="84" t="s">
        <v>75</v>
      </c>
      <c r="B12" s="53"/>
    </row>
    <row r="13" spans="1:5" x14ac:dyDescent="0.25">
      <c r="A13" s="54" t="s">
        <v>83</v>
      </c>
      <c r="B13" s="56">
        <v>0.15</v>
      </c>
    </row>
    <row r="14" spans="1:5" x14ac:dyDescent="0.25">
      <c r="A14" s="54" t="s">
        <v>76</v>
      </c>
      <c r="B14" s="61">
        <f>B32</f>
        <v>0.57789580617688463</v>
      </c>
    </row>
    <row r="15" spans="1:5" x14ac:dyDescent="0.25">
      <c r="A15" s="54" t="s">
        <v>84</v>
      </c>
      <c r="B15" s="62">
        <v>1.4999999999999999E-2</v>
      </c>
    </row>
    <row r="16" spans="1:5" ht="15.75" thickBot="1" x14ac:dyDescent="0.3">
      <c r="A16" s="58"/>
      <c r="B16" s="63">
        <f>B15+(B14*(B13-B15))</f>
        <v>9.3015933833879433E-2</v>
      </c>
    </row>
    <row r="17" spans="1:2" x14ac:dyDescent="0.25">
      <c r="A17" s="84" t="s">
        <v>77</v>
      </c>
      <c r="B17" s="53"/>
    </row>
    <row r="18" spans="1:2" x14ac:dyDescent="0.25">
      <c r="A18" s="54" t="s">
        <v>78</v>
      </c>
      <c r="B18" s="82">
        <f>IS!C26</f>
        <v>75263</v>
      </c>
    </row>
    <row r="19" spans="1:2" x14ac:dyDescent="0.25">
      <c r="A19" s="54" t="s">
        <v>73</v>
      </c>
      <c r="B19" s="55">
        <v>784100</v>
      </c>
    </row>
    <row r="20" spans="1:2" ht="15.75" thickBot="1" x14ac:dyDescent="0.3">
      <c r="A20" s="58"/>
      <c r="B20" s="83">
        <f>B18/B19</f>
        <v>9.5986481316158653E-2</v>
      </c>
    </row>
    <row r="25" spans="1:2" x14ac:dyDescent="0.25">
      <c r="A25" s="26" t="s">
        <v>76</v>
      </c>
    </row>
    <row r="26" spans="1:2" x14ac:dyDescent="0.25">
      <c r="A26" t="s">
        <v>79</v>
      </c>
      <c r="B26">
        <v>0.6</v>
      </c>
    </row>
    <row r="27" spans="1:2" x14ac:dyDescent="0.25">
      <c r="A27" t="s">
        <v>73</v>
      </c>
      <c r="B27">
        <v>1551</v>
      </c>
    </row>
    <row r="28" spans="1:2" x14ac:dyDescent="0.25">
      <c r="A28" t="s">
        <v>70</v>
      </c>
      <c r="B28">
        <v>6985</v>
      </c>
    </row>
    <row r="29" spans="1:2" x14ac:dyDescent="0.25">
      <c r="A29" t="s">
        <v>81</v>
      </c>
      <c r="B29" s="27">
        <v>0.3</v>
      </c>
    </row>
    <row r="30" spans="1:2" x14ac:dyDescent="0.25">
      <c r="A30" t="s">
        <v>80</v>
      </c>
      <c r="B30" s="28">
        <f>B26/(1+((1-B29)*(B27/B28)))</f>
        <v>0.51928581163963472</v>
      </c>
    </row>
    <row r="32" spans="1:2" x14ac:dyDescent="0.25">
      <c r="A32" t="s">
        <v>82</v>
      </c>
      <c r="B32" s="35">
        <f>B30*(1+(1-B29)*(B8/B7))</f>
        <v>0.57789580617688463</v>
      </c>
    </row>
  </sheetData>
  <hyperlinks>
    <hyperlink ref="A1" location="Contents!A1" display="BACK TO THE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pane ySplit="1" topLeftCell="A5" activePane="bottomLeft" state="frozen"/>
      <selection pane="bottomLeft" activeCell="B22" sqref="B22"/>
    </sheetView>
  </sheetViews>
  <sheetFormatPr defaultRowHeight="15" x14ac:dyDescent="0.25"/>
  <cols>
    <col min="1" max="1" width="39" customWidth="1"/>
    <col min="2" max="2" width="14.5703125" bestFit="1" customWidth="1"/>
    <col min="3" max="3" width="12.5703125" bestFit="1" customWidth="1"/>
    <col min="4" max="4" width="16" bestFit="1" customWidth="1"/>
    <col min="5" max="5" width="12.5703125" bestFit="1" customWidth="1"/>
    <col min="6" max="6" width="16.28515625" bestFit="1" customWidth="1"/>
  </cols>
  <sheetData>
    <row r="1" spans="1:6" x14ac:dyDescent="0.25">
      <c r="A1" s="126" t="s">
        <v>112</v>
      </c>
    </row>
    <row r="5" spans="1:6" x14ac:dyDescent="0.25">
      <c r="A5" s="44" t="s">
        <v>0</v>
      </c>
    </row>
    <row r="6" spans="1:6" x14ac:dyDescent="0.25">
      <c r="B6" s="31">
        <v>1999</v>
      </c>
      <c r="C6" s="31">
        <v>2000</v>
      </c>
      <c r="D6" s="31">
        <v>2001</v>
      </c>
      <c r="E6" s="31">
        <v>2002</v>
      </c>
      <c r="F6" s="31">
        <v>2003</v>
      </c>
    </row>
    <row r="7" spans="1:6" x14ac:dyDescent="0.25">
      <c r="A7" t="s">
        <v>50</v>
      </c>
      <c r="B7" s="32">
        <f>FSI!B9</f>
        <v>302602</v>
      </c>
      <c r="C7" s="32">
        <f>FSI!C9</f>
        <v>335815.09048431367</v>
      </c>
      <c r="D7" s="32">
        <f>FSI!D9</f>
        <v>372673.59434831154</v>
      </c>
      <c r="E7" s="32">
        <f>FSI!E9</f>
        <v>413577.62608043785</v>
      </c>
      <c r="F7" s="32">
        <f>FSI!F9</f>
        <v>458971.21606760658</v>
      </c>
    </row>
    <row r="8" spans="1:6" x14ac:dyDescent="0.25">
      <c r="A8" t="s">
        <v>49</v>
      </c>
      <c r="B8" s="32">
        <f>FSI!B12</f>
        <v>24167</v>
      </c>
      <c r="C8" s="32">
        <f>FSI!C12</f>
        <v>29216.244074646311</v>
      </c>
      <c r="D8" s="32">
        <f>FSI!D12</f>
        <v>35320.433559370445</v>
      </c>
      <c r="E8" s="32">
        <f>FSI!E12</f>
        <v>42699.979628952518</v>
      </c>
      <c r="F8" s="32">
        <f>FSI!F12</f>
        <v>51621.344263744038</v>
      </c>
    </row>
    <row r="9" spans="1:6" x14ac:dyDescent="0.25">
      <c r="A9" t="s">
        <v>48</v>
      </c>
      <c r="B9" s="32">
        <f>B7-B8</f>
        <v>278435</v>
      </c>
      <c r="C9" s="32">
        <f t="shared" ref="C9:F9" si="0">C7-C8</f>
        <v>306598.84640966734</v>
      </c>
      <c r="D9" s="32">
        <f t="shared" si="0"/>
        <v>337353.16078894108</v>
      </c>
      <c r="E9" s="32">
        <f t="shared" si="0"/>
        <v>370877.64645148534</v>
      </c>
      <c r="F9" s="32">
        <f t="shared" si="0"/>
        <v>407349.87180386257</v>
      </c>
    </row>
    <row r="10" spans="1:6" x14ac:dyDescent="0.25">
      <c r="A10" t="s">
        <v>59</v>
      </c>
      <c r="B10" s="32">
        <f>FBS!B19</f>
        <v>255510</v>
      </c>
      <c r="C10" s="32">
        <f>FBS!C19</f>
        <v>79169.79606748349</v>
      </c>
      <c r="D10" s="32">
        <f>FBS!D19</f>
        <v>73785.048782369704</v>
      </c>
      <c r="E10" s="32">
        <f>FBS!E19</f>
        <v>68766.546009239159</v>
      </c>
      <c r="F10" s="32">
        <f>FBS!F19</f>
        <v>64089.377564668888</v>
      </c>
    </row>
    <row r="11" spans="1:6" x14ac:dyDescent="0.25">
      <c r="A11" t="s">
        <v>60</v>
      </c>
      <c r="B11" s="29">
        <f>FBS!B18</f>
        <v>425491</v>
      </c>
      <c r="C11" s="29">
        <f>FBS!C18</f>
        <v>5092.343957306286</v>
      </c>
      <c r="D11" s="29">
        <f>FBS!D18</f>
        <v>3200.0521461917324</v>
      </c>
      <c r="E11" s="29">
        <f>FBS!E18</f>
        <v>2010.9273498020302</v>
      </c>
      <c r="F11" s="29">
        <f>FBS!F18</f>
        <v>1263.6759094673607</v>
      </c>
    </row>
    <row r="12" spans="1:6" x14ac:dyDescent="0.25">
      <c r="A12" t="s">
        <v>63</v>
      </c>
      <c r="B12" s="29">
        <f>FBS!B20</f>
        <v>343728</v>
      </c>
      <c r="C12" s="29">
        <f>FBS!C20</f>
        <v>-70020.801360565005</v>
      </c>
      <c r="D12" s="29">
        <f>FBS!D20</f>
        <v>-77845.555383412051</v>
      </c>
      <c r="E12" s="29">
        <f>FBS!E20</f>
        <v>-86544.717786745634</v>
      </c>
      <c r="F12" s="29">
        <f>FBS!F20</f>
        <v>-96216.002826327924</v>
      </c>
    </row>
    <row r="13" spans="1:6" x14ac:dyDescent="0.25">
      <c r="A13" t="s">
        <v>66</v>
      </c>
      <c r="B13" s="32">
        <f>SUM(B7:B12)</f>
        <v>1629933</v>
      </c>
      <c r="C13" s="32">
        <f t="shared" ref="C13:F13" si="1">SUM(C7:C12)</f>
        <v>685871.51963285205</v>
      </c>
      <c r="D13" s="32">
        <f t="shared" si="1"/>
        <v>744486.73424177244</v>
      </c>
      <c r="E13" s="32">
        <f t="shared" si="1"/>
        <v>811388.00773317122</v>
      </c>
      <c r="F13" s="32">
        <f t="shared" si="1"/>
        <v>887079.48278302152</v>
      </c>
    </row>
    <row r="14" spans="1:6" ht="15.75" thickBot="1" x14ac:dyDescent="0.3">
      <c r="A14" t="s">
        <v>67</v>
      </c>
      <c r="B14" s="8"/>
      <c r="C14" s="8"/>
      <c r="D14" s="8"/>
      <c r="E14" s="8"/>
      <c r="F14" s="36">
        <f>F13/F16</f>
        <v>9494752.5119475778</v>
      </c>
    </row>
    <row r="15" spans="1:6" x14ac:dyDescent="0.25">
      <c r="A15" s="26" t="s">
        <v>85</v>
      </c>
      <c r="B15" s="32">
        <f>SUM(B13:B14)</f>
        <v>1629933</v>
      </c>
      <c r="C15" s="32">
        <f t="shared" ref="C15:F15" si="2">SUM(C13:C14)</f>
        <v>685871.51963285205</v>
      </c>
      <c r="D15" s="32">
        <f t="shared" si="2"/>
        <v>744486.73424177244</v>
      </c>
      <c r="E15" s="32">
        <f t="shared" si="2"/>
        <v>811388.00773317122</v>
      </c>
      <c r="F15" s="32">
        <f t="shared" si="2"/>
        <v>10381831.994730599</v>
      </c>
    </row>
    <row r="16" spans="1:6" ht="15.75" thickBot="1" x14ac:dyDescent="0.3">
      <c r="A16" t="s">
        <v>69</v>
      </c>
      <c r="B16" s="37">
        <f>'WACC(VID)'!$E$9</f>
        <v>9.3428394438588955E-2</v>
      </c>
      <c r="C16" s="27">
        <f>'WACC(VID)'!$E$9</f>
        <v>9.3428394438588955E-2</v>
      </c>
      <c r="D16" s="27">
        <f>'WACC(VID)'!$E$9</f>
        <v>9.3428394438588955E-2</v>
      </c>
      <c r="E16" s="27">
        <f>'WACC(VID)'!$E$9</f>
        <v>9.3428394438588955E-2</v>
      </c>
      <c r="F16" s="27">
        <f>'WACC(VID)'!$E$9</f>
        <v>9.3428394438588955E-2</v>
      </c>
    </row>
    <row r="17" spans="1:6" x14ac:dyDescent="0.25">
      <c r="A17" s="26" t="s">
        <v>86</v>
      </c>
      <c r="B17" s="39">
        <f>NPV(B16,B15:F15)</f>
        <v>9843812.5616055969</v>
      </c>
      <c r="C17" s="27"/>
      <c r="D17" s="27"/>
      <c r="E17" s="27"/>
      <c r="F17" s="27"/>
    </row>
    <row r="18" spans="1:6" x14ac:dyDescent="0.25">
      <c r="A18" t="s">
        <v>87</v>
      </c>
      <c r="B18" s="29">
        <v>784100</v>
      </c>
    </row>
    <row r="19" spans="1:6" ht="15.75" thickBot="1" x14ac:dyDescent="0.3">
      <c r="A19" s="26" t="s">
        <v>88</v>
      </c>
      <c r="B19" s="38">
        <f>B17-B18</f>
        <v>9059712.5616055969</v>
      </c>
    </row>
    <row r="20" spans="1:6" ht="15.75" thickTop="1" x14ac:dyDescent="0.25">
      <c r="D20" s="40"/>
    </row>
    <row r="21" spans="1:6" x14ac:dyDescent="0.25">
      <c r="A21" s="26" t="s">
        <v>99</v>
      </c>
      <c r="B21" s="26">
        <v>118600</v>
      </c>
    </row>
    <row r="22" spans="1:6" x14ac:dyDescent="0.25">
      <c r="A22" s="26" t="s">
        <v>92</v>
      </c>
      <c r="B22" s="43">
        <f>B19/B21</f>
        <v>76.388807433436739</v>
      </c>
    </row>
  </sheetData>
  <hyperlinks>
    <hyperlink ref="A1" location="Contents!A1" display="BACK TO THE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pane ySplit="1" topLeftCell="A2" activePane="bottomLeft" state="frozen"/>
      <selection pane="bottomLeft" activeCell="B12" sqref="B12"/>
    </sheetView>
  </sheetViews>
  <sheetFormatPr defaultRowHeight="15" x14ac:dyDescent="0.25"/>
  <cols>
    <col min="1" max="1" width="41.7109375" customWidth="1"/>
    <col min="2" max="2" width="18" bestFit="1" customWidth="1"/>
  </cols>
  <sheetData>
    <row r="1" spans="1:2" x14ac:dyDescent="0.25">
      <c r="A1" s="126" t="s">
        <v>112</v>
      </c>
    </row>
    <row r="3" spans="1:2" ht="15.75" thickBot="1" x14ac:dyDescent="0.3">
      <c r="A3" s="44" t="s">
        <v>89</v>
      </c>
    </row>
    <row r="4" spans="1:2" x14ac:dyDescent="0.25">
      <c r="A4" s="73" t="s">
        <v>90</v>
      </c>
      <c r="B4" s="53"/>
    </row>
    <row r="5" spans="1:2" ht="15.75" thickBot="1" x14ac:dyDescent="0.3">
      <c r="A5" s="58" t="s">
        <v>93</v>
      </c>
      <c r="B5" s="74">
        <v>19</v>
      </c>
    </row>
    <row r="7" spans="1:2" x14ac:dyDescent="0.25">
      <c r="A7" s="44" t="s">
        <v>91</v>
      </c>
    </row>
    <row r="8" spans="1:2" ht="15.75" thickBot="1" x14ac:dyDescent="0.3"/>
    <row r="9" spans="1:2" x14ac:dyDescent="0.25">
      <c r="A9" s="52" t="s">
        <v>94</v>
      </c>
      <c r="B9" s="75">
        <v>302602000</v>
      </c>
    </row>
    <row r="10" spans="1:2" x14ac:dyDescent="0.25">
      <c r="A10" s="54" t="s">
        <v>95</v>
      </c>
      <c r="B10" s="76">
        <f>B5*B9</f>
        <v>5749438000</v>
      </c>
    </row>
    <row r="11" spans="1:2" x14ac:dyDescent="0.25">
      <c r="A11" s="54" t="s">
        <v>96</v>
      </c>
      <c r="B11" s="55">
        <v>118600000</v>
      </c>
    </row>
    <row r="12" spans="1:2" ht="15.75" thickBot="1" x14ac:dyDescent="0.3">
      <c r="A12" s="77" t="s">
        <v>97</v>
      </c>
      <c r="B12" s="78">
        <f>B10/B11</f>
        <v>48.477554806070827</v>
      </c>
    </row>
    <row r="16" spans="1:2" x14ac:dyDescent="0.25">
      <c r="B16" s="42"/>
    </row>
  </sheetData>
  <hyperlinks>
    <hyperlink ref="A1" location="Contents!A1" display="BACK TO THE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pane ySplit="1" topLeftCell="A14" activePane="bottomLeft" state="frozen"/>
      <selection pane="bottomLeft" activeCell="B7" sqref="B7"/>
    </sheetView>
  </sheetViews>
  <sheetFormatPr defaultRowHeight="15" x14ac:dyDescent="0.25"/>
  <cols>
    <col min="1" max="1" width="32.5703125" bestFit="1" customWidth="1"/>
    <col min="2" max="2" width="15.28515625" bestFit="1" customWidth="1"/>
    <col min="3" max="3" width="10.7109375" bestFit="1" customWidth="1"/>
    <col min="4" max="4" width="6.5703125" bestFit="1" customWidth="1"/>
    <col min="5" max="5" width="7.7109375" bestFit="1" customWidth="1"/>
  </cols>
  <sheetData>
    <row r="1" spans="1:5" x14ac:dyDescent="0.25">
      <c r="A1" s="126" t="s">
        <v>112</v>
      </c>
    </row>
    <row r="4" spans="1:5" x14ac:dyDescent="0.25">
      <c r="A4" s="44" t="s">
        <v>98</v>
      </c>
    </row>
    <row r="6" spans="1:5" x14ac:dyDescent="0.25">
      <c r="A6" s="45" t="s">
        <v>48</v>
      </c>
      <c r="B6" s="46">
        <v>893828</v>
      </c>
    </row>
    <row r="7" spans="1:5" x14ac:dyDescent="0.25">
      <c r="A7" s="47" t="s">
        <v>51</v>
      </c>
      <c r="B7" s="41">
        <v>7.0000000000000007E-2</v>
      </c>
    </row>
    <row r="8" spans="1:5" x14ac:dyDescent="0.25">
      <c r="A8" s="47" t="s">
        <v>68</v>
      </c>
      <c r="B8" s="41">
        <f>E18</f>
        <v>9.6413963456718377E-2</v>
      </c>
    </row>
    <row r="9" spans="1:5" x14ac:dyDescent="0.25">
      <c r="A9" s="47" t="s">
        <v>101</v>
      </c>
      <c r="B9" s="48">
        <f>B6*(1+B7)/(B8-B7)</f>
        <v>36207968.621109813</v>
      </c>
    </row>
    <row r="10" spans="1:5" x14ac:dyDescent="0.25">
      <c r="A10" s="47" t="s">
        <v>96</v>
      </c>
      <c r="B10" s="49">
        <v>224880</v>
      </c>
    </row>
    <row r="11" spans="1:5" ht="15.75" thickBot="1" x14ac:dyDescent="0.3">
      <c r="A11" s="50" t="s">
        <v>97</v>
      </c>
      <c r="B11" s="51">
        <f>B9/B10</f>
        <v>161.01017707715144</v>
      </c>
    </row>
    <row r="12" spans="1:5" ht="15.75" thickTop="1" x14ac:dyDescent="0.25"/>
    <row r="14" spans="1:5" ht="15.75" thickBot="1" x14ac:dyDescent="0.3">
      <c r="A14" s="34" t="s">
        <v>68</v>
      </c>
    </row>
    <row r="15" spans="1:5" x14ac:dyDescent="0.25">
      <c r="A15" s="65"/>
      <c r="B15" s="66" t="s">
        <v>71</v>
      </c>
      <c r="C15" s="66" t="s">
        <v>72</v>
      </c>
      <c r="D15" s="66" t="s">
        <v>74</v>
      </c>
      <c r="E15" s="67" t="s">
        <v>68</v>
      </c>
    </row>
    <row r="16" spans="1:5" x14ac:dyDescent="0.25">
      <c r="A16" s="54" t="s">
        <v>70</v>
      </c>
      <c r="B16" s="49">
        <v>9872</v>
      </c>
      <c r="C16" s="68">
        <f>B16/$B$18</f>
        <v>0.89650913582040759</v>
      </c>
      <c r="D16" s="69">
        <f>B25</f>
        <v>9.6000000000000002E-2</v>
      </c>
      <c r="E16" s="70">
        <f>C16*D16</f>
        <v>8.6064877038759133E-2</v>
      </c>
    </row>
    <row r="17" spans="1:5" x14ac:dyDescent="0.25">
      <c r="A17" s="54" t="s">
        <v>100</v>
      </c>
      <c r="B17" s="49">
        <v>1139.5999999999999</v>
      </c>
      <c r="C17" s="68">
        <f>B17/$B$18</f>
        <v>0.10349086417959241</v>
      </c>
      <c r="D17" s="41">
        <v>0.1</v>
      </c>
      <c r="E17" s="70">
        <f>D17*C17</f>
        <v>1.0349086417959242E-2</v>
      </c>
    </row>
    <row r="18" spans="1:5" ht="15.75" thickBot="1" x14ac:dyDescent="0.3">
      <c r="A18" s="58" t="s">
        <v>27</v>
      </c>
      <c r="B18" s="71">
        <f>SUM(B16:B17)</f>
        <v>11011.6</v>
      </c>
      <c r="C18" s="8"/>
      <c r="D18" s="8"/>
      <c r="E18" s="72">
        <f>SUM(E16:E17)</f>
        <v>9.6413963456718377E-2</v>
      </c>
    </row>
    <row r="21" spans="1:5" ht="15.75" thickBot="1" x14ac:dyDescent="0.3">
      <c r="A21" s="44" t="s">
        <v>75</v>
      </c>
    </row>
    <row r="22" spans="1:5" x14ac:dyDescent="0.25">
      <c r="A22" s="52" t="s">
        <v>83</v>
      </c>
      <c r="B22" s="60">
        <v>0.15</v>
      </c>
    </row>
    <row r="23" spans="1:5" x14ac:dyDescent="0.25">
      <c r="A23" s="54" t="s">
        <v>76</v>
      </c>
      <c r="B23" s="61">
        <f>B34</f>
        <v>0.6</v>
      </c>
    </row>
    <row r="24" spans="1:5" ht="15.75" thickBot="1" x14ac:dyDescent="0.3">
      <c r="A24" s="58" t="s">
        <v>84</v>
      </c>
      <c r="B24" s="64">
        <v>1.4999999999999999E-2</v>
      </c>
    </row>
    <row r="25" spans="1:5" ht="15.75" thickBot="1" x14ac:dyDescent="0.3">
      <c r="A25" s="58"/>
      <c r="B25" s="63">
        <f>B24+(B23*(B22-B24))</f>
        <v>9.6000000000000002E-2</v>
      </c>
    </row>
    <row r="26" spans="1:5" x14ac:dyDescent="0.25">
      <c r="A26" s="1"/>
    </row>
    <row r="27" spans="1:5" ht="15.75" thickBot="1" x14ac:dyDescent="0.3">
      <c r="A27" s="44" t="s">
        <v>76</v>
      </c>
    </row>
    <row r="28" spans="1:5" x14ac:dyDescent="0.25">
      <c r="A28" s="52" t="s">
        <v>79</v>
      </c>
      <c r="B28" s="53">
        <v>0.6</v>
      </c>
    </row>
    <row r="29" spans="1:5" x14ac:dyDescent="0.25">
      <c r="A29" s="54" t="s">
        <v>73</v>
      </c>
      <c r="B29" s="55">
        <f>B17</f>
        <v>1139.5999999999999</v>
      </c>
    </row>
    <row r="30" spans="1:5" x14ac:dyDescent="0.25">
      <c r="A30" s="54" t="s">
        <v>70</v>
      </c>
      <c r="B30" s="55">
        <f>B16</f>
        <v>9872</v>
      </c>
    </row>
    <row r="31" spans="1:5" x14ac:dyDescent="0.25">
      <c r="A31" s="54" t="s">
        <v>81</v>
      </c>
      <c r="B31" s="56">
        <v>0.3</v>
      </c>
    </row>
    <row r="32" spans="1:5" x14ac:dyDescent="0.25">
      <c r="A32" s="54" t="s">
        <v>80</v>
      </c>
      <c r="B32" s="57">
        <f>B28/(1+((1-B31)*(B29/B30)))</f>
        <v>0.55514109086274055</v>
      </c>
    </row>
    <row r="33" spans="1:2" x14ac:dyDescent="0.25">
      <c r="A33" s="54"/>
      <c r="B33" s="55"/>
    </row>
    <row r="34" spans="1:2" ht="15.75" thickBot="1" x14ac:dyDescent="0.3">
      <c r="A34" s="58" t="s">
        <v>82</v>
      </c>
      <c r="B34" s="59">
        <f>B32*(1+(1-B31)*(B17/B16))</f>
        <v>0.6</v>
      </c>
    </row>
  </sheetData>
  <hyperlinks>
    <hyperlink ref="A1" location="Contents!A1" display="BACK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BS</vt:lpstr>
      <vt:lpstr>IS</vt:lpstr>
      <vt:lpstr>FSI</vt:lpstr>
      <vt:lpstr>FBS</vt:lpstr>
      <vt:lpstr>WACC(VID)</vt:lpstr>
      <vt:lpstr>MV(VID)</vt:lpstr>
      <vt:lpstr>MV(VID2)</vt:lpstr>
      <vt:lpstr>MV RODGERS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2015-10-14T16:19:20Z</dcterms:modified>
</cp:coreProperties>
</file>